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05" yWindow="15" windowWidth="12120" windowHeight="11430" tabRatio="881"/>
  </bookViews>
  <sheets>
    <sheet name="Worksheet" sheetId="1" r:id="rId1"/>
    <sheet name="ChildSupportOrder" sheetId="7" r:id="rId2"/>
    <sheet name="Paternity Judgment &amp; Order" sheetId="10" r:id="rId3"/>
    <sheet name="IWO" sheetId="13" r:id="rId4"/>
    <sheet name="Order of Assignment" sheetId="6" state="hidden" r:id="rId5"/>
    <sheet name="Tax" sheetId="8" state="hidden" r:id="rId6"/>
    <sheet name="Paragraphs" sheetId="11" state="hidden" r:id="rId7"/>
    <sheet name="PTD" sheetId="5" state="hidden" r:id="rId8"/>
    <sheet name="2011 Schedule" sheetId="2" state="hidden" r:id="rId9"/>
    <sheet name="2015 Schedule" sheetId="14" r:id="rId10"/>
    <sheet name="Parenting Time" sheetId="3" r:id="rId11"/>
    <sheet name="County" sheetId="12" r:id="rId12"/>
  </sheets>
  <definedNames>
    <definedName name="_xlnm.Print_Area" localSheetId="1">ChildSupportOrder!$B$1:$P$132</definedName>
    <definedName name="_xlnm.Print_Area" localSheetId="4">'Order of Assignment'!$A$1:$I$87</definedName>
    <definedName name="_xlnm.Print_Area" localSheetId="2">'Paternity Judgment &amp; Order'!$B$1:$T$169</definedName>
    <definedName name="_xlnm.Print_Area" localSheetId="7">PTD!$1:$1048576</definedName>
    <definedName name="_xlnm.Print_Area" localSheetId="0">Worksheet!$B$32:$AA$81</definedName>
    <definedName name="_xlnm.Print_Titles" localSheetId="8">'2011 Schedule'!$2:$3</definedName>
  </definedNames>
  <calcPr calcId="124519"/>
</workbook>
</file>

<file path=xl/calcChain.xml><?xml version="1.0" encoding="utf-8"?>
<calcChain xmlns="http://schemas.openxmlformats.org/spreadsheetml/2006/main">
  <c r="N97" i="10"/>
  <c r="C136" i="13" l="1"/>
  <c r="C132"/>
  <c r="C56"/>
  <c r="Q55"/>
  <c r="Q33"/>
  <c r="C101" l="1"/>
  <c r="P115"/>
  <c r="I115"/>
  <c r="C92"/>
  <c r="C87"/>
  <c r="P84" l="1"/>
  <c r="I84"/>
  <c r="P54"/>
  <c r="I54"/>
  <c r="M15" l="1"/>
  <c r="Q14"/>
  <c r="O16"/>
  <c r="N120" i="1" l="1"/>
  <c r="R121"/>
  <c r="H115" l="1"/>
  <c r="N93" i="10"/>
  <c r="X114" i="1"/>
  <c r="C103" i="10" l="1"/>
  <c r="C102"/>
  <c r="M309" i="8"/>
  <c r="L309"/>
  <c r="M312"/>
  <c r="L312"/>
  <c r="M316"/>
  <c r="L316"/>
  <c r="M321"/>
  <c r="L321"/>
  <c r="M327"/>
  <c r="L327"/>
  <c r="M50"/>
  <c r="L50"/>
  <c r="M45"/>
  <c r="L45"/>
  <c r="M41"/>
  <c r="L41"/>
  <c r="M38"/>
  <c r="L38"/>
  <c r="M56"/>
  <c r="L56"/>
  <c r="M186"/>
  <c r="L186"/>
  <c r="M181"/>
  <c r="L181"/>
  <c r="M177"/>
  <c r="L177"/>
  <c r="M174"/>
  <c r="L174"/>
  <c r="M192"/>
  <c r="L192"/>
  <c r="M159"/>
  <c r="L159"/>
  <c r="M154"/>
  <c r="L154"/>
  <c r="M150"/>
  <c r="L150"/>
  <c r="M147"/>
  <c r="L147"/>
  <c r="M201"/>
  <c r="L201"/>
  <c r="M204"/>
  <c r="L204"/>
  <c r="M208"/>
  <c r="L208"/>
  <c r="M213"/>
  <c r="L213"/>
  <c r="M165"/>
  <c r="L165"/>
  <c r="M219"/>
  <c r="L219"/>
  <c r="M120"/>
  <c r="L120"/>
  <c r="M123"/>
  <c r="L123"/>
  <c r="M127"/>
  <c r="L127"/>
  <c r="M132"/>
  <c r="L132"/>
  <c r="M138"/>
  <c r="L138"/>
  <c r="M228"/>
  <c r="L228"/>
  <c r="M231"/>
  <c r="L231"/>
  <c r="M235"/>
  <c r="L235"/>
  <c r="M240"/>
  <c r="L240"/>
  <c r="M246"/>
  <c r="L246"/>
  <c r="M93"/>
  <c r="L93"/>
  <c r="M96"/>
  <c r="L96"/>
  <c r="M100"/>
  <c r="L100"/>
  <c r="M105"/>
  <c r="L105"/>
  <c r="M111"/>
  <c r="L111"/>
  <c r="M255"/>
  <c r="L255"/>
  <c r="M258"/>
  <c r="L258"/>
  <c r="M262"/>
  <c r="L262"/>
  <c r="M267"/>
  <c r="L267"/>
  <c r="M273"/>
  <c r="L273"/>
  <c r="M84"/>
  <c r="L84"/>
  <c r="M78"/>
  <c r="L78"/>
  <c r="M73"/>
  <c r="L73"/>
  <c r="M69"/>
  <c r="L69"/>
  <c r="M66"/>
  <c r="L66"/>
  <c r="L300"/>
  <c r="M294"/>
  <c r="L294"/>
  <c r="M289"/>
  <c r="L289"/>
  <c r="M285"/>
  <c r="L285"/>
  <c r="M282"/>
  <c r="L282"/>
  <c r="M300"/>
  <c r="L168" i="10" l="1"/>
  <c r="M132" i="7"/>
  <c r="F51" i="10"/>
  <c r="F38" i="7"/>
  <c r="F76" i="10"/>
  <c r="N56" i="7"/>
  <c r="C57"/>
  <c r="R125" i="1"/>
  <c r="R124"/>
  <c r="C73" i="13"/>
  <c r="D63"/>
  <c r="H62"/>
  <c r="I69"/>
  <c r="I68"/>
  <c r="P257" i="1"/>
  <c r="S36" i="13"/>
  <c r="Q36"/>
  <c r="C48"/>
  <c r="R219" i="1"/>
  <c r="K41" i="13"/>
  <c r="K31"/>
  <c r="K30"/>
  <c r="K29"/>
  <c r="K28"/>
  <c r="K27"/>
  <c r="K26"/>
  <c r="C31"/>
  <c r="C30"/>
  <c r="C29"/>
  <c r="C28"/>
  <c r="C27"/>
  <c r="C26"/>
  <c r="M20"/>
  <c r="I24"/>
  <c r="C23"/>
  <c r="C22"/>
  <c r="C18"/>
  <c r="O11"/>
  <c r="M11"/>
  <c r="C11"/>
  <c r="C16"/>
  <c r="H16"/>
  <c r="N225" i="1"/>
  <c r="J224"/>
  <c r="G226"/>
  <c r="G222"/>
  <c r="K11" i="13" s="1"/>
  <c r="D8"/>
  <c r="C41" s="1"/>
  <c r="D6"/>
  <c r="K42" s="1"/>
  <c r="D4"/>
  <c r="G221" i="1"/>
  <c r="G217"/>
  <c r="D2" i="13" s="1"/>
  <c r="M135"/>
  <c r="M133"/>
  <c r="C134"/>
  <c r="M131"/>
  <c r="O61"/>
  <c r="H15"/>
  <c r="H14"/>
  <c r="H136" i="1"/>
  <c r="G184"/>
  <c r="G133"/>
  <c r="G114" i="10"/>
  <c r="H82" i="7"/>
  <c r="Q114" i="13" l="1"/>
  <c r="Q53"/>
  <c r="Q83"/>
  <c r="P82"/>
  <c r="P113"/>
  <c r="H82"/>
  <c r="H113"/>
  <c r="H52"/>
  <c r="P52"/>
  <c r="F26" i="6"/>
  <c r="N96" i="10"/>
  <c r="C38" i="13"/>
  <c r="H41"/>
  <c r="C36"/>
  <c r="C40"/>
  <c r="C37"/>
  <c r="C154" i="10"/>
  <c r="C156"/>
  <c r="C158"/>
  <c r="R155"/>
  <c r="C155"/>
  <c r="B132" i="1"/>
  <c r="H133"/>
  <c r="I135" l="1"/>
  <c r="I134"/>
  <c r="B162" i="10"/>
  <c r="K142" i="1"/>
  <c r="G195"/>
  <c r="L164" i="10"/>
  <c r="B164"/>
  <c r="M128" i="7"/>
  <c r="B128"/>
  <c r="B130"/>
  <c r="N92" i="10"/>
  <c r="N65" i="7"/>
  <c r="N63"/>
  <c r="C82" i="10" l="1"/>
  <c r="N82"/>
  <c r="Q82"/>
  <c r="O51" i="7"/>
  <c r="M51"/>
  <c r="K82" i="10"/>
  <c r="L51" i="7"/>
  <c r="C81" i="10"/>
  <c r="C51" i="7"/>
  <c r="C50"/>
  <c r="C49" i="10"/>
  <c r="C32" i="7"/>
  <c r="O53"/>
  <c r="C53"/>
  <c r="O52"/>
  <c r="N52"/>
  <c r="G203" i="1"/>
  <c r="B200" s="1"/>
  <c r="M34" i="7"/>
  <c r="O49" s="1"/>
  <c r="G34"/>
  <c r="M55" i="10"/>
  <c r="P80" s="1"/>
  <c r="G55"/>
  <c r="J80" s="1"/>
  <c r="H55" i="6" l="1"/>
  <c r="H53"/>
  <c r="B53"/>
  <c r="M24" i="1" l="1"/>
  <c r="L148" l="1"/>
  <c r="I149"/>
  <c r="C160" i="10"/>
  <c r="I10" i="6" l="1"/>
  <c r="N7" i="7"/>
  <c r="O7" i="10"/>
  <c r="H33" i="6"/>
  <c r="C33"/>
  <c r="Q55" i="10"/>
  <c r="C56"/>
  <c r="B182" i="1"/>
  <c r="G181"/>
  <c r="B35" l="1"/>
  <c r="A3" i="6" l="1"/>
  <c r="B3" i="10"/>
  <c r="B2" i="7"/>
  <c r="C50" i="1"/>
  <c r="O36" i="10"/>
  <c r="C62" i="1"/>
  <c r="N66" i="7"/>
  <c r="C76" i="10"/>
  <c r="M56" i="7"/>
  <c r="R72" i="1"/>
  <c r="H72" l="1"/>
  <c r="B163" i="10" l="1"/>
  <c r="G77" l="1"/>
  <c r="O57" i="7"/>
  <c r="C75" i="10"/>
  <c r="C56" i="7"/>
  <c r="C51" i="10"/>
  <c r="C38" i="7"/>
  <c r="C153" i="10"/>
  <c r="C152"/>
  <c r="F151"/>
  <c r="C151"/>
  <c r="B151"/>
  <c r="B154" s="1"/>
  <c r="B124" i="7"/>
  <c r="E161" i="10"/>
  <c r="B126" i="7"/>
  <c r="R164" i="10"/>
  <c r="R166"/>
  <c r="L166"/>
  <c r="H166"/>
  <c r="B166"/>
  <c r="H164"/>
  <c r="M56"/>
  <c r="P56"/>
  <c r="O35" i="7"/>
  <c r="M35"/>
  <c r="J56" i="10"/>
  <c r="K35" i="7"/>
  <c r="C35"/>
  <c r="O34"/>
  <c r="K46" i="10"/>
  <c r="F59"/>
  <c r="F27" i="6"/>
  <c r="F25"/>
  <c r="J130" i="7"/>
  <c r="J128"/>
  <c r="M130"/>
  <c r="P130"/>
  <c r="P128"/>
  <c r="E125"/>
  <c r="N125" i="1"/>
  <c r="N123"/>
  <c r="N95" i="10"/>
  <c r="X12" i="1"/>
  <c r="T104"/>
  <c r="B160" i="10" l="1"/>
  <c r="J188" i="1"/>
  <c r="E185"/>
  <c r="G105"/>
  <c r="K27" i="10"/>
  <c r="K26"/>
  <c r="K25"/>
  <c r="K24"/>
  <c r="K23"/>
  <c r="K22"/>
  <c r="K21"/>
  <c r="L18" i="7"/>
  <c r="M27" i="10"/>
  <c r="M26"/>
  <c r="M25"/>
  <c r="M24"/>
  <c r="M23"/>
  <c r="M22"/>
  <c r="E27"/>
  <c r="E26"/>
  <c r="E25"/>
  <c r="E24"/>
  <c r="E23"/>
  <c r="E22"/>
  <c r="L24" i="7"/>
  <c r="L23"/>
  <c r="L22"/>
  <c r="L21"/>
  <c r="L20"/>
  <c r="L19"/>
  <c r="M24"/>
  <c r="M23"/>
  <c r="M22"/>
  <c r="M21"/>
  <c r="M20"/>
  <c r="M19"/>
  <c r="I154" i="1"/>
  <c r="I153"/>
  <c r="I152"/>
  <c r="I151"/>
  <c r="I150"/>
  <c r="P39"/>
  <c r="O148" l="1"/>
  <c r="H133" i="10"/>
  <c r="G133"/>
  <c r="G132"/>
  <c r="H132"/>
  <c r="G130"/>
  <c r="H130"/>
  <c r="G131"/>
  <c r="H131"/>
  <c r="H129"/>
  <c r="G129"/>
  <c r="G128"/>
  <c r="H128"/>
  <c r="E153" i="1"/>
  <c r="E150"/>
  <c r="E152"/>
  <c r="E154"/>
  <c r="E149"/>
  <c r="E151"/>
  <c r="H126" i="10" l="1"/>
  <c r="A7" i="6"/>
  <c r="B6" i="10"/>
  <c r="B5" i="7"/>
  <c r="D24" l="1"/>
  <c r="D23"/>
  <c r="D22"/>
  <c r="D21"/>
  <c r="D20"/>
  <c r="D19"/>
  <c r="A33" i="1" l="1"/>
  <c r="S34"/>
  <c r="AB33"/>
  <c r="B34"/>
  <c r="B4" i="7" l="1"/>
  <c r="B5" i="10"/>
  <c r="A4" i="6"/>
  <c r="AB38" i="1"/>
  <c r="AB37"/>
  <c r="AB36"/>
  <c r="AB35"/>
  <c r="AB34"/>
  <c r="B40"/>
  <c r="Z42"/>
  <c r="S24"/>
  <c r="AB39" l="1"/>
  <c r="G91"/>
  <c r="I48" i="10" l="1"/>
  <c r="O31" i="7"/>
  <c r="C48" i="10"/>
  <c r="L29" i="7"/>
  <c r="L32" i="1"/>
  <c r="C156" i="13" s="1"/>
  <c r="B44" i="1"/>
  <c r="H70" i="13" l="1"/>
  <c r="N129" i="1"/>
  <c r="O8" i="13"/>
  <c r="S208" i="1"/>
  <c r="T209" s="1"/>
  <c r="C157" i="10" s="1"/>
  <c r="J32" i="1"/>
  <c r="Z41"/>
  <c r="I165" s="1"/>
  <c r="X41"/>
  <c r="I164" s="1"/>
  <c r="V41"/>
  <c r="I163" s="1"/>
  <c r="T41"/>
  <c r="I162" s="1"/>
  <c r="R41"/>
  <c r="I161" s="1"/>
  <c r="P41"/>
  <c r="Z39"/>
  <c r="X39"/>
  <c r="V39"/>
  <c r="T39"/>
  <c r="R39"/>
  <c r="D29" i="5"/>
  <c r="C77" i="10" l="1"/>
  <c r="M53" i="7"/>
  <c r="M60"/>
  <c r="M57"/>
  <c r="L43"/>
  <c r="AD33" i="1"/>
  <c r="I160"/>
  <c r="P48" i="7"/>
  <c r="C49"/>
  <c r="C34" l="1"/>
  <c r="P33"/>
  <c r="C29" l="1"/>
  <c r="N79" i="1"/>
  <c r="C66"/>
  <c r="D65"/>
  <c r="AE51"/>
  <c r="C51"/>
  <c r="Y48"/>
  <c r="U48"/>
  <c r="B9" i="7"/>
  <c r="H100"/>
  <c r="L99"/>
  <c r="H102"/>
  <c r="H103"/>
  <c r="H104"/>
  <c r="H105"/>
  <c r="L4"/>
  <c r="M129"/>
  <c r="B129"/>
  <c r="M127"/>
  <c r="B127"/>
  <c r="B125"/>
  <c r="C124"/>
  <c r="N49"/>
  <c r="L49"/>
  <c r="O48"/>
  <c r="O33"/>
  <c r="L34"/>
  <c r="N5"/>
  <c r="O46" s="1"/>
  <c r="G112" i="1"/>
  <c r="T113"/>
  <c r="G99"/>
  <c r="C34" i="10"/>
  <c r="Q27"/>
  <c r="J127"/>
  <c r="Q22"/>
  <c r="Q24"/>
  <c r="Q25"/>
  <c r="Q26"/>
  <c r="L165"/>
  <c r="B165"/>
  <c r="L163"/>
  <c r="B161"/>
  <c r="C59"/>
  <c r="C55"/>
  <c r="R54"/>
  <c r="Q79" s="1"/>
  <c r="O5"/>
  <c r="Q135" s="1"/>
  <c r="Q84"/>
  <c r="C80"/>
  <c r="N80"/>
  <c r="K55"/>
  <c r="K5"/>
  <c r="K33"/>
  <c r="G33"/>
  <c r="G30"/>
  <c r="B10"/>
  <c r="M29"/>
  <c r="G178" i="1"/>
  <c r="L10" i="10" s="1"/>
  <c r="B15"/>
  <c r="G31" i="8"/>
  <c r="G199" i="1"/>
  <c r="A10" i="11"/>
  <c r="H18" i="6"/>
  <c r="H17"/>
  <c r="A11"/>
  <c r="I7"/>
  <c r="A43"/>
  <c r="B33" i="5"/>
  <c r="G22"/>
  <c r="G21"/>
  <c r="G20"/>
  <c r="G15"/>
  <c r="G14"/>
  <c r="G13"/>
  <c r="G12"/>
  <c r="G11"/>
  <c r="F30" i="8"/>
  <c r="F29"/>
  <c r="F28"/>
  <c r="F27"/>
  <c r="G28"/>
  <c r="H27"/>
  <c r="I27"/>
  <c r="J27"/>
  <c r="F31"/>
  <c r="F32"/>
  <c r="H28"/>
  <c r="I28"/>
  <c r="J28"/>
  <c r="G29"/>
  <c r="H29"/>
  <c r="I29"/>
  <c r="J29"/>
  <c r="G30"/>
  <c r="H30"/>
  <c r="I30"/>
  <c r="J30"/>
  <c r="H31"/>
  <c r="I31"/>
  <c r="J31"/>
  <c r="G32"/>
  <c r="H32"/>
  <c r="I32"/>
  <c r="J32"/>
  <c r="G27"/>
  <c r="F34"/>
  <c r="G34" s="1"/>
  <c r="H34" s="1"/>
  <c r="I34" s="1"/>
  <c r="J34" s="1"/>
  <c r="F26"/>
  <c r="G26" s="1"/>
  <c r="H26" s="1"/>
  <c r="I26" s="1"/>
  <c r="J26" s="1"/>
  <c r="L35"/>
  <c r="M35" s="1"/>
  <c r="L326"/>
  <c r="M326" s="1"/>
  <c r="L320"/>
  <c r="M320" s="1"/>
  <c r="L315"/>
  <c r="M315" s="1"/>
  <c r="L311"/>
  <c r="M311" s="1"/>
  <c r="L308"/>
  <c r="M308" s="1"/>
  <c r="L306"/>
  <c r="M306" s="1"/>
  <c r="L299"/>
  <c r="M299" s="1"/>
  <c r="L293"/>
  <c r="M293" s="1"/>
  <c r="L288"/>
  <c r="M288" s="1"/>
  <c r="L284"/>
  <c r="M284" s="1"/>
  <c r="L281"/>
  <c r="M281" s="1"/>
  <c r="L279"/>
  <c r="M279" s="1"/>
  <c r="L272"/>
  <c r="M272" s="1"/>
  <c r="L266"/>
  <c r="M266" s="1"/>
  <c r="L261"/>
  <c r="M261" s="1"/>
  <c r="L257"/>
  <c r="M257" s="1"/>
  <c r="L254"/>
  <c r="M254" s="1"/>
  <c r="L252"/>
  <c r="M252" s="1"/>
  <c r="L245"/>
  <c r="M245" s="1"/>
  <c r="L239"/>
  <c r="M239" s="1"/>
  <c r="L234"/>
  <c r="M234" s="1"/>
  <c r="L230"/>
  <c r="M230" s="1"/>
  <c r="L227"/>
  <c r="M227" s="1"/>
  <c r="L225"/>
  <c r="M225" s="1"/>
  <c r="L218"/>
  <c r="M218" s="1"/>
  <c r="L212"/>
  <c r="M212" s="1"/>
  <c r="L207"/>
  <c r="M207" s="1"/>
  <c r="L203"/>
  <c r="M203" s="1"/>
  <c r="L200"/>
  <c r="M200" s="1"/>
  <c r="L198"/>
  <c r="M198" s="1"/>
  <c r="L191"/>
  <c r="M191" s="1"/>
  <c r="L185"/>
  <c r="M185" s="1"/>
  <c r="L180"/>
  <c r="M180" s="1"/>
  <c r="L176"/>
  <c r="M176" s="1"/>
  <c r="L173"/>
  <c r="M173" s="1"/>
  <c r="L171"/>
  <c r="M171" s="1"/>
  <c r="L164"/>
  <c r="M164" s="1"/>
  <c r="L158"/>
  <c r="M158" s="1"/>
  <c r="L153"/>
  <c r="M153" s="1"/>
  <c r="L149"/>
  <c r="M149" s="1"/>
  <c r="L146"/>
  <c r="M146" s="1"/>
  <c r="L144"/>
  <c r="M144" s="1"/>
  <c r="L137"/>
  <c r="M137" s="1"/>
  <c r="L131"/>
  <c r="M131" s="1"/>
  <c r="L126"/>
  <c r="M126" s="1"/>
  <c r="L122"/>
  <c r="M122" s="1"/>
  <c r="L119"/>
  <c r="M119" s="1"/>
  <c r="L117"/>
  <c r="M117" s="1"/>
  <c r="L110"/>
  <c r="M110" s="1"/>
  <c r="L104"/>
  <c r="M104" s="1"/>
  <c r="L99"/>
  <c r="M99" s="1"/>
  <c r="L95"/>
  <c r="M95" s="1"/>
  <c r="L92"/>
  <c r="M92" s="1"/>
  <c r="L90"/>
  <c r="M90" s="1"/>
  <c r="L83"/>
  <c r="M83" s="1"/>
  <c r="L77"/>
  <c r="M77" s="1"/>
  <c r="L72"/>
  <c r="M72" s="1"/>
  <c r="L68"/>
  <c r="M68" s="1"/>
  <c r="L65"/>
  <c r="M65" s="1"/>
  <c r="L63"/>
  <c r="M63" s="1"/>
  <c r="L55"/>
  <c r="M55" s="1"/>
  <c r="L49"/>
  <c r="M49" s="1"/>
  <c r="L44"/>
  <c r="M44" s="1"/>
  <c r="L40"/>
  <c r="M40" s="1"/>
  <c r="L37"/>
  <c r="M37" s="1"/>
  <c r="F93" i="1"/>
  <c r="B92" s="1"/>
  <c r="N121"/>
  <c r="N119"/>
  <c r="AD35"/>
  <c r="AD36"/>
  <c r="AD37"/>
  <c r="AD38"/>
  <c r="N61"/>
  <c r="AC45"/>
  <c r="AC47"/>
  <c r="AC48"/>
  <c r="AC49"/>
  <c r="AC50"/>
  <c r="G198"/>
  <c r="B195" s="1"/>
  <c r="G193"/>
  <c r="B189" s="1"/>
  <c r="I73"/>
  <c r="G189"/>
  <c r="I188"/>
  <c r="L159"/>
  <c r="O159" s="1"/>
  <c r="R159" s="1"/>
  <c r="U159" s="1"/>
  <c r="X159" s="1"/>
  <c r="J52"/>
  <c r="H63"/>
  <c r="M60"/>
  <c r="F60"/>
  <c r="H55"/>
  <c r="H54"/>
  <c r="K71"/>
  <c r="C47"/>
  <c r="S46"/>
  <c r="X48"/>
  <c r="S48"/>
  <c r="X50"/>
  <c r="AB55" l="1"/>
  <c r="AC55" s="1"/>
  <c r="AD55" s="1"/>
  <c r="AH55" s="1"/>
  <c r="A8" i="11"/>
  <c r="H114" i="1"/>
  <c r="C85" i="10"/>
  <c r="G84"/>
  <c r="AE53" i="1"/>
  <c r="AF53" s="1"/>
  <c r="AG53" s="1"/>
  <c r="Y52" s="1"/>
  <c r="G58" i="10"/>
  <c r="N72" i="1"/>
  <c r="O73" s="1"/>
  <c r="G180"/>
  <c r="B34" i="5"/>
  <c r="B35" s="1"/>
  <c r="B36" s="1"/>
  <c r="B37" s="1"/>
  <c r="B38" s="1"/>
  <c r="B39" s="1"/>
  <c r="B40" s="1"/>
  <c r="B41" s="1"/>
  <c r="B42" s="1"/>
  <c r="B43" s="1"/>
  <c r="B44" s="1"/>
  <c r="B45" s="1"/>
  <c r="B46" s="1"/>
  <c r="B47" s="1"/>
  <c r="B48" s="1"/>
  <c r="B49" s="1"/>
  <c r="B50" s="1"/>
  <c r="B51" s="1"/>
  <c r="B52" s="1"/>
  <c r="Z40" i="1"/>
  <c r="V40"/>
  <c r="X40"/>
  <c r="T40"/>
  <c r="P40"/>
  <c r="R40"/>
  <c r="M32" i="10"/>
  <c r="T56" i="1"/>
  <c r="V57"/>
  <c r="X56"/>
  <c r="AB53"/>
  <c r="AC53" s="1"/>
  <c r="AD53" s="1"/>
  <c r="U52" s="1"/>
  <c r="I103" i="7"/>
  <c r="I102"/>
  <c r="O94"/>
  <c r="B167" i="10"/>
  <c r="B131" i="7"/>
  <c r="E63" i="10"/>
  <c r="A45" i="6"/>
  <c r="E5"/>
  <c r="D40" i="5"/>
  <c r="D41" s="1"/>
  <c r="Q86" i="10"/>
  <c r="I104" i="7"/>
  <c r="I105"/>
  <c r="I100"/>
  <c r="Q41" i="10"/>
  <c r="AE55" i="1"/>
  <c r="AF55" s="1"/>
  <c r="AG55" s="1"/>
  <c r="AH56" s="1"/>
  <c r="U54" l="1"/>
  <c r="Y55"/>
  <c r="AB56"/>
  <c r="AC56" s="1"/>
  <c r="AD56" s="1"/>
  <c r="D20" i="8"/>
  <c r="E20" s="1"/>
  <c r="E29" s="1"/>
  <c r="AE54" i="1"/>
  <c r="AF54" s="1"/>
  <c r="AG54" s="1"/>
  <c r="AC37"/>
  <c r="AE37" s="1"/>
  <c r="AB50"/>
  <c r="AD50" s="1"/>
  <c r="AB48"/>
  <c r="AD48" s="1"/>
  <c r="AC33"/>
  <c r="AE33" s="1"/>
  <c r="D21" i="8"/>
  <c r="E21" s="1"/>
  <c r="E30" s="1"/>
  <c r="AB46" i="1"/>
  <c r="AB45"/>
  <c r="AD45" s="1"/>
  <c r="AB49"/>
  <c r="AD49" s="1"/>
  <c r="AC38"/>
  <c r="AE38" s="1"/>
  <c r="AC36"/>
  <c r="AE36" s="1"/>
  <c r="AC35"/>
  <c r="AE35" s="1"/>
  <c r="AB47"/>
  <c r="AD47" s="1"/>
  <c r="AB54"/>
  <c r="F39" i="5"/>
  <c r="AC34" i="1"/>
  <c r="F40" i="5"/>
  <c r="D42"/>
  <c r="D18" i="8"/>
  <c r="D22"/>
  <c r="E22" s="1"/>
  <c r="E31" s="1"/>
  <c r="AE56" i="1"/>
  <c r="AF56" s="1"/>
  <c r="AG56" s="1"/>
  <c r="D23" i="8"/>
  <c r="E23" s="1"/>
  <c r="E32" s="1"/>
  <c r="Y56" i="1" l="1"/>
  <c r="AC54"/>
  <c r="AD54" s="1"/>
  <c r="F41" i="5"/>
  <c r="F42" s="1"/>
  <c r="U23" i="1" s="1"/>
  <c r="D43" i="5"/>
  <c r="E160" i="1"/>
  <c r="C128" i="10"/>
  <c r="E18" i="8"/>
  <c r="E27" s="1"/>
  <c r="F17"/>
  <c r="E161" i="1"/>
  <c r="C129" i="10"/>
  <c r="E162" i="1"/>
  <c r="C130" i="10"/>
  <c r="C133"/>
  <c r="E165" i="1"/>
  <c r="C131" i="10"/>
  <c r="E163" i="1"/>
  <c r="C132" i="10"/>
  <c r="E164" i="1"/>
  <c r="U56" l="1"/>
  <c r="W57" s="1"/>
  <c r="D44" i="5"/>
  <c r="F43"/>
  <c r="F44" l="1"/>
  <c r="U21" i="1" s="1"/>
  <c r="U22"/>
  <c r="D45" i="5"/>
  <c r="AC46" i="1"/>
  <c r="AD46" s="1"/>
  <c r="AD51" s="1"/>
  <c r="AF51" s="1"/>
  <c r="Q23" i="10"/>
  <c r="Q21"/>
  <c r="R136" i="1"/>
  <c r="AD34"/>
  <c r="AE34" s="1"/>
  <c r="U44"/>
  <c r="K145"/>
  <c r="D2" i="8" s="1"/>
  <c r="Y69" i="1"/>
  <c r="AB58"/>
  <c r="U69"/>
  <c r="F45" i="5" l="1"/>
  <c r="F46" s="1"/>
  <c r="F47" s="1"/>
  <c r="F48" s="1"/>
  <c r="F49" s="1"/>
  <c r="F50" s="1"/>
  <c r="F51" s="1"/>
  <c r="Y78" i="1"/>
  <c r="H200"/>
  <c r="C37" i="10"/>
  <c r="AC58" i="1"/>
  <c r="AD58" s="1"/>
  <c r="U65"/>
  <c r="Y65"/>
  <c r="C115" i="10"/>
  <c r="C83" i="7"/>
  <c r="H157" i="10"/>
  <c r="H154"/>
  <c r="C138"/>
  <c r="AB59" i="1"/>
  <c r="AC59" s="1"/>
  <c r="D46" i="5"/>
  <c r="U20" i="1"/>
  <c r="C47" i="10"/>
  <c r="C31" i="7"/>
  <c r="C30"/>
  <c r="C107"/>
  <c r="G36" i="10"/>
  <c r="E32"/>
  <c r="C20"/>
  <c r="F29"/>
  <c r="C17" i="7"/>
  <c r="AE39" i="1"/>
  <c r="AA44" s="1"/>
  <c r="K63" i="10"/>
  <c r="B58" i="1"/>
  <c r="D5" i="8"/>
  <c r="G66" i="10"/>
  <c r="C64"/>
  <c r="A9" i="11"/>
  <c r="A11" s="1"/>
  <c r="A15" s="1"/>
  <c r="C69" i="10" s="1"/>
  <c r="L127"/>
  <c r="H101" i="7"/>
  <c r="I101"/>
  <c r="E13" i="8"/>
  <c r="E12"/>
  <c r="E9"/>
  <c r="E3"/>
  <c r="E7"/>
  <c r="D3"/>
  <c r="E10"/>
  <c r="E5"/>
  <c r="E8"/>
  <c r="E4"/>
  <c r="E6"/>
  <c r="D11"/>
  <c r="E11"/>
  <c r="J64" i="1"/>
  <c r="I64"/>
  <c r="D7" i="8"/>
  <c r="I139" i="1"/>
  <c r="I137"/>
  <c r="N137" s="1"/>
  <c r="C103" i="7" l="1"/>
  <c r="A21" i="8" s="1"/>
  <c r="A30" s="1"/>
  <c r="C104" i="7"/>
  <c r="A22" i="8" s="1"/>
  <c r="A31" s="1"/>
  <c r="C101" i="7"/>
  <c r="A19" i="8" s="1"/>
  <c r="A28" s="1"/>
  <c r="C102" i="7"/>
  <c r="A20" i="8" s="1"/>
  <c r="A29" s="1"/>
  <c r="C100" i="7"/>
  <c r="A18" i="8" s="1"/>
  <c r="A27" s="1"/>
  <c r="C105" i="7"/>
  <c r="A23" i="8" s="1"/>
  <c r="A32" s="1"/>
  <c r="D47" i="5"/>
  <c r="D48" s="1"/>
  <c r="D49" s="1"/>
  <c r="U19" i="1"/>
  <c r="G96" i="7"/>
  <c r="F124" i="10"/>
  <c r="I98" i="7"/>
  <c r="M99"/>
  <c r="V58" i="1"/>
  <c r="V44"/>
  <c r="G61"/>
  <c r="E14" i="8"/>
  <c r="D19"/>
  <c r="A12" i="11"/>
  <c r="H39" i="10" s="1"/>
  <c r="A13" i="11"/>
  <c r="C40" i="10" s="1"/>
  <c r="A14" i="11"/>
  <c r="H68" i="10" s="1"/>
  <c r="AD59" i="1"/>
  <c r="I87" i="7"/>
  <c r="G118" i="10"/>
  <c r="F4" i="8"/>
  <c r="F6"/>
  <c r="F8"/>
  <c r="F10"/>
  <c r="F12"/>
  <c r="F3"/>
  <c r="F5"/>
  <c r="F7"/>
  <c r="F9"/>
  <c r="F11"/>
  <c r="F13"/>
  <c r="N139" i="1"/>
  <c r="G122" i="10"/>
  <c r="I91" i="7"/>
  <c r="W58" i="1" l="1"/>
  <c r="V68" s="1"/>
  <c r="U18"/>
  <c r="U24" s="1"/>
  <c r="D50" i="5"/>
  <c r="D51" s="1"/>
  <c r="D52" s="1"/>
  <c r="T42" i="1"/>
  <c r="E19" i="8"/>
  <c r="E28" s="1"/>
  <c r="G17"/>
  <c r="Y72" i="1"/>
  <c r="F14" i="8"/>
  <c r="E15" s="1"/>
  <c r="R148" i="1" s="1"/>
  <c r="N91" i="7"/>
  <c r="M122" i="10"/>
  <c r="N87" i="7"/>
  <c r="M118" i="10"/>
  <c r="U72" i="1" l="1"/>
  <c r="C24" i="5"/>
  <c r="V43" i="1" s="1"/>
  <c r="D24" i="5"/>
  <c r="Z43" i="1" s="1"/>
  <c r="G34" i="6" s="1"/>
  <c r="N99" i="7"/>
  <c r="R127" i="10"/>
  <c r="P127"/>
  <c r="O99" i="7"/>
  <c r="U148" i="1"/>
  <c r="X148"/>
  <c r="N127" i="10"/>
  <c r="P99" i="7"/>
  <c r="H17" i="8"/>
  <c r="I17"/>
  <c r="J17"/>
  <c r="J14"/>
  <c r="D9"/>
  <c r="D13" s="1"/>
  <c r="D34" i="6" l="1"/>
  <c r="J244" i="1"/>
  <c r="O159" i="13" s="1"/>
  <c r="E53" i="5"/>
  <c r="O244" i="1"/>
  <c r="S159" i="13" s="1"/>
  <c r="F53" i="5"/>
  <c r="I23" i="8"/>
  <c r="X154" i="1"/>
  <c r="J23" i="8"/>
  <c r="H23"/>
  <c r="U154" i="1"/>
  <c r="R154"/>
  <c r="L154"/>
  <c r="O154"/>
  <c r="F23" i="8"/>
  <c r="G23"/>
  <c r="I22"/>
  <c r="X153" i="1"/>
  <c r="L153"/>
  <c r="O153"/>
  <c r="F22" i="8"/>
  <c r="G22"/>
  <c r="J22"/>
  <c r="H22"/>
  <c r="U153" i="1"/>
  <c r="R153"/>
  <c r="L152"/>
  <c r="O152"/>
  <c r="F21" i="8"/>
  <c r="G21"/>
  <c r="I21"/>
  <c r="X152" i="1"/>
  <c r="J21" i="8"/>
  <c r="H21"/>
  <c r="U152" i="1"/>
  <c r="R152"/>
  <c r="L151"/>
  <c r="O151"/>
  <c r="F20" i="8"/>
  <c r="G20"/>
  <c r="I20"/>
  <c r="X151" i="1"/>
  <c r="J20" i="8"/>
  <c r="H20"/>
  <c r="U151" i="1"/>
  <c r="R151"/>
  <c r="X150"/>
  <c r="J19" i="8"/>
  <c r="P101" i="7"/>
  <c r="R129" i="10"/>
  <c r="M105" i="7"/>
  <c r="O104"/>
  <c r="R133" i="10"/>
  <c r="M103" i="7"/>
  <c r="O105"/>
  <c r="L102"/>
  <c r="R130" i="10"/>
  <c r="P102" i="7"/>
  <c r="O102"/>
  <c r="N133" i="10"/>
  <c r="P133"/>
  <c r="L103" i="7"/>
  <c r="N105"/>
  <c r="P104"/>
  <c r="L130" i="10"/>
  <c r="N103" i="7"/>
  <c r="L131" i="10"/>
  <c r="J132"/>
  <c r="J131"/>
  <c r="L133"/>
  <c r="L132"/>
  <c r="L105" i="7"/>
  <c r="N104"/>
  <c r="N131" i="10"/>
  <c r="R132"/>
  <c r="M104" i="7"/>
  <c r="M102"/>
  <c r="N102"/>
  <c r="N130" i="10"/>
  <c r="P130"/>
  <c r="P131"/>
  <c r="P103" i="7"/>
  <c r="P105"/>
  <c r="L104"/>
  <c r="J130" i="10"/>
  <c r="N132"/>
  <c r="P132"/>
  <c r="J133"/>
  <c r="O103" i="7"/>
  <c r="R131" i="10"/>
  <c r="L150" i="1"/>
  <c r="J129" i="10"/>
  <c r="L129"/>
  <c r="L101" i="7"/>
  <c r="N101"/>
  <c r="M101"/>
  <c r="O150" i="1"/>
  <c r="R150"/>
  <c r="U150"/>
  <c r="F19" i="8"/>
  <c r="P129" i="10"/>
  <c r="N129"/>
  <c r="O101" i="7"/>
  <c r="G19" i="8"/>
  <c r="I19"/>
  <c r="H19"/>
  <c r="L149" i="1"/>
  <c r="L100" i="7"/>
  <c r="J128" i="10"/>
  <c r="L128"/>
  <c r="N100" i="7"/>
  <c r="M100"/>
  <c r="O149" i="1"/>
  <c r="R128" i="10"/>
  <c r="P100" i="7"/>
  <c r="X149" i="1"/>
  <c r="O100" i="7"/>
  <c r="P128" i="10"/>
  <c r="R149" i="1"/>
  <c r="N128" i="10"/>
  <c r="U149" i="1"/>
  <c r="F18" i="8"/>
  <c r="H18"/>
  <c r="I18"/>
  <c r="G18"/>
  <c r="J18"/>
  <c r="D150" i="1" l="1"/>
  <c r="D149"/>
  <c r="B156"/>
  <c r="B155"/>
  <c r="H61"/>
  <c r="W59"/>
  <c r="W68" s="1"/>
  <c r="D151" l="1"/>
  <c r="B157"/>
  <c r="Y74"/>
  <c r="U74"/>
  <c r="Y70"/>
  <c r="X70"/>
  <c r="T70"/>
  <c r="U70"/>
  <c r="C155" l="1"/>
  <c r="E155" s="1"/>
  <c r="C156"/>
  <c r="U75"/>
  <c r="X75"/>
  <c r="Y75"/>
  <c r="T75"/>
  <c r="F156" l="1"/>
  <c r="F157"/>
  <c r="C157"/>
  <c r="B81"/>
  <c r="H199" s="1"/>
  <c r="N77"/>
  <c r="B77"/>
  <c r="U76"/>
  <c r="U77" s="1"/>
  <c r="Y76"/>
  <c r="Q79" l="1"/>
  <c r="U78" s="1"/>
  <c r="U80" s="1"/>
  <c r="H201"/>
  <c r="F23" i="6"/>
  <c r="Q106" i="1"/>
  <c r="F56" i="7"/>
  <c r="F75" i="10"/>
  <c r="I233" i="1"/>
  <c r="M18" i="13" s="1"/>
  <c r="I238" i="1"/>
  <c r="M22" i="13" s="1"/>
  <c r="G79" i="10"/>
  <c r="H74"/>
  <c r="I55" i="7"/>
  <c r="C52"/>
  <c r="H48"/>
  <c r="G33"/>
  <c r="F71" i="10"/>
  <c r="H88"/>
  <c r="I59" i="7"/>
  <c r="N89" i="10"/>
  <c r="L72"/>
  <c r="B18" i="6"/>
  <c r="B55" s="1"/>
  <c r="R122" i="1"/>
  <c r="F37" i="7"/>
  <c r="F50" i="10"/>
  <c r="C112"/>
  <c r="C111"/>
  <c r="C108"/>
  <c r="C70" i="7"/>
  <c r="F54" i="10"/>
  <c r="C79" i="7"/>
  <c r="C76"/>
  <c r="F45" i="10"/>
  <c r="F28" i="7"/>
  <c r="F42"/>
  <c r="T80" i="1"/>
  <c r="Y77"/>
  <c r="X80"/>
  <c r="I83" i="13" l="1"/>
  <c r="I114"/>
  <c r="I53"/>
  <c r="N64" i="7"/>
  <c r="C39" i="13"/>
  <c r="N94" i="10"/>
  <c r="F24" i="6"/>
  <c r="Y80" i="1"/>
  <c r="H46" i="10" s="1"/>
  <c r="C108" i="7" l="1"/>
  <c r="C139" i="10"/>
  <c r="H90" i="1"/>
  <c r="H96" s="1"/>
  <c r="I29" i="7"/>
  <c r="N31" l="1"/>
  <c r="F48" i="10"/>
  <c r="O71" s="1"/>
  <c r="N91" s="1"/>
  <c r="N98" s="1"/>
  <c r="N99" s="1"/>
  <c r="N42" i="7"/>
  <c r="R118" i="1"/>
  <c r="Q88" i="10" l="1"/>
  <c r="H38" i="13"/>
  <c r="C35"/>
  <c r="H39"/>
  <c r="H40"/>
  <c r="H37"/>
  <c r="H36"/>
  <c r="F22" i="6"/>
  <c r="F29" s="1"/>
  <c r="N62" i="7"/>
  <c r="R126" i="1"/>
  <c r="R127" s="1"/>
  <c r="I42" i="13" s="1"/>
  <c r="C46" l="1"/>
  <c r="H35"/>
  <c r="N67" i="7"/>
  <c r="O59" s="1"/>
  <c r="L46" i="13" l="1"/>
  <c r="L47"/>
  <c r="C47"/>
</calcChain>
</file>

<file path=xl/sharedStrings.xml><?xml version="1.0" encoding="utf-8"?>
<sst xmlns="http://schemas.openxmlformats.org/spreadsheetml/2006/main" count="2107" uniqueCount="681">
  <si>
    <t>Support To Be Ordered:</t>
  </si>
  <si>
    <t>Parenting Time Table A</t>
  </si>
  <si>
    <t>Number of Parenting Time Days</t>
  </si>
  <si>
    <t>Percentage</t>
  </si>
  <si>
    <t>Parenting Time Table B</t>
  </si>
  <si>
    <t>DOB:</t>
  </si>
  <si>
    <t>Father</t>
  </si>
  <si>
    <t>Mother</t>
  </si>
  <si>
    <t>Equal</t>
  </si>
  <si>
    <t>M:</t>
  </si>
  <si>
    <r>
      <t xml:space="preserve">Custodian of  </t>
    </r>
    <r>
      <rPr>
        <b/>
        <sz val="10"/>
        <rFont val="Arial"/>
        <family val="2"/>
      </rPr>
      <t>F:</t>
    </r>
  </si>
  <si>
    <t>Adjusted Gross Income</t>
  </si>
  <si>
    <t>Combined Adjusted Gross Income</t>
  </si>
  <si>
    <t xml:space="preserve">Adjustment For </t>
  </si>
  <si>
    <t>%</t>
  </si>
  <si>
    <t xml:space="preserve">    [Discretionary]</t>
  </si>
  <si>
    <t>Extraordinary (Gifted or Handicapped) Child Expenses Paid By:</t>
  </si>
  <si>
    <t>Total Child Support Obligation</t>
  </si>
  <si>
    <t>Each Parent's Proportionate Share of Total Support Obligation</t>
  </si>
  <si>
    <t>Days At</t>
  </si>
  <si>
    <t>For</t>
  </si>
  <si>
    <t>Each Parent's Proportionate Percentage of Combined Income</t>
  </si>
  <si>
    <t>Support</t>
  </si>
  <si>
    <t>AGI</t>
  </si>
  <si>
    <t>Number of Minor Children:</t>
  </si>
  <si>
    <t xml:space="preserve">Respondent     </t>
  </si>
  <si>
    <t xml:space="preserve">Petitioner         </t>
  </si>
  <si>
    <t>NO.</t>
  </si>
  <si>
    <t>Child Support Worksheet</t>
  </si>
  <si>
    <t>Gross Monthly Income:</t>
  </si>
  <si>
    <t>Father:</t>
  </si>
  <si>
    <t>Mother:</t>
  </si>
  <si>
    <t>Monthly</t>
  </si>
  <si>
    <t>Hourly</t>
  </si>
  <si>
    <t>Annually</t>
  </si>
  <si>
    <t>Adjustment For Essentially Equal Time With Each Parent</t>
  </si>
  <si>
    <t xml:space="preserve">[Mandatory]    </t>
  </si>
  <si>
    <t xml:space="preserve">[Mandatory]      </t>
  </si>
  <si>
    <t>Additions To Child Support Obligation:</t>
  </si>
  <si>
    <t>Preliminary Child Support Obligation</t>
  </si>
  <si>
    <t xml:space="preserve">and </t>
  </si>
  <si>
    <t>Presumptive Child Support Termination Date</t>
  </si>
  <si>
    <t>Age on</t>
  </si>
  <si>
    <t>Year</t>
  </si>
  <si>
    <t>Birthday</t>
  </si>
  <si>
    <t>Grad</t>
  </si>
  <si>
    <t>Youngest Child's Birthday:</t>
  </si>
  <si>
    <t>Child Born</t>
  </si>
  <si>
    <t>From</t>
  </si>
  <si>
    <t>Last Day of Birth Month in 18th Year After Year of Birth</t>
  </si>
  <si>
    <t>Thru</t>
  </si>
  <si>
    <t>May 31 in 18th Year After Year of Birth</t>
  </si>
  <si>
    <t>May 31 in 19th Year After Year of Birth</t>
  </si>
  <si>
    <t>Grade Child Ends In May</t>
  </si>
  <si>
    <t>(Grade for</t>
  </si>
  <si>
    <t>Presumptive Termination Date:</t>
  </si>
  <si>
    <t>Age:</t>
  </si>
  <si>
    <r>
      <t xml:space="preserve">Support of Other Natural or Adopted Children </t>
    </r>
    <r>
      <rPr>
        <b/>
        <sz val="10"/>
        <rFont val="Arial"/>
        <family val="2"/>
      </rPr>
      <t>Not</t>
    </r>
    <r>
      <rPr>
        <sz val="10"/>
        <rFont val="Arial"/>
        <family val="2"/>
      </rPr>
      <t xml:space="preserve"> Ordered:</t>
    </r>
  </si>
  <si>
    <t>Parenting Time Costs Adjustment</t>
  </si>
  <si>
    <t xml:space="preserve">Parenting Time Table </t>
  </si>
  <si>
    <t>Month of</t>
  </si>
  <si>
    <t>Birth</t>
  </si>
  <si>
    <t>More Years Behind</t>
  </si>
  <si>
    <t>Year Behind</t>
  </si>
  <si>
    <t>More Years Ahead</t>
  </si>
  <si>
    <t>Actual Grade:</t>
  </si>
  <si>
    <t>Youngest Grade Estimated:</t>
  </si>
  <si>
    <t>Next Grade Child Starts In</t>
  </si>
  <si>
    <t>Usual Presumptive</t>
  </si>
  <si>
    <t>Termination Date</t>
  </si>
  <si>
    <t>PTD For 9-1:</t>
  </si>
  <si>
    <t>Total Additions To Child Support Obligation From Above Paid By Each Parent</t>
  </si>
  <si>
    <t>May 31,</t>
  </si>
  <si>
    <t>Sept. (Grade for June, July</t>
  </si>
  <si>
    <t>Aug., Sept., Oct., Nov., Dec.</t>
  </si>
  <si>
    <t>Jan., Feb., Mar., Apr., May)</t>
  </si>
  <si>
    <r>
      <t xml:space="preserve">PTD If Child </t>
    </r>
    <r>
      <rPr>
        <b/>
        <sz val="10"/>
        <rFont val="Arial"/>
        <family val="2"/>
      </rPr>
      <t xml:space="preserve">1 </t>
    </r>
  </si>
  <si>
    <r>
      <t>PTD If Child Is</t>
    </r>
    <r>
      <rPr>
        <b/>
        <sz val="10"/>
        <rFont val="Arial"/>
        <family val="2"/>
      </rPr>
      <t xml:space="preserve"> 2 or</t>
    </r>
  </si>
  <si>
    <r>
      <t xml:space="preserve">PTD If Child Is </t>
    </r>
    <r>
      <rPr>
        <b/>
        <sz val="10"/>
        <rFont val="Arial"/>
        <family val="2"/>
      </rPr>
      <t>1 or</t>
    </r>
  </si>
  <si>
    <t>Chart For Grade Progression To Normal Presumptive Termination Date</t>
  </si>
  <si>
    <t>Month</t>
  </si>
  <si>
    <t>YOB+</t>
  </si>
  <si>
    <t xml:space="preserve">SUPERIOR COURT OF ARIZONA </t>
  </si>
  <si>
    <t>)</t>
  </si>
  <si>
    <t>Case No.</t>
  </si>
  <si>
    <t>and</t>
  </si>
  <si>
    <t>ORDER OF ASSIGNMENT</t>
  </si>
  <si>
    <t>Current Child Support</t>
  </si>
  <si>
    <t>Clearinghouse Handling Fee</t>
  </si>
  <si>
    <t>CHILD SUPPORT ORDER</t>
  </si>
  <si>
    <t xml:space="preserve">(1) </t>
  </si>
  <si>
    <t xml:space="preserve">(2) </t>
  </si>
  <si>
    <t>ATLAS No.</t>
  </si>
  <si>
    <t>A.R.S. § 25-504</t>
  </si>
  <si>
    <t>*</t>
  </si>
  <si>
    <t xml:space="preserve">This Order of Assignment terminates on </t>
  </si>
  <si>
    <t>TO:  CURRENT AND FUTURE EMPLOYERS OR OTHER PAYORS OF THE OBLIGOR:</t>
  </si>
  <si>
    <t>Current Spousal Maintenance</t>
  </si>
  <si>
    <t>Child Support Arrearages/Interest</t>
  </si>
  <si>
    <t>You shall withhold court-ordered monthly payments as follows:</t>
  </si>
  <si>
    <t>Total Amount Per Month</t>
  </si>
  <si>
    <r>
      <t xml:space="preserve">This </t>
    </r>
    <r>
      <rPr>
        <b/>
        <i/>
        <sz val="10"/>
        <rFont val="Arial"/>
        <family val="2"/>
      </rPr>
      <t>Order of Assignment</t>
    </r>
    <r>
      <rPr>
        <b/>
        <sz val="10"/>
        <rFont val="Arial"/>
        <family val="2"/>
      </rPr>
      <t xml:space="preserve"> </t>
    </r>
    <r>
      <rPr>
        <sz val="10"/>
        <rFont val="Arial"/>
        <family val="2"/>
      </rPr>
      <t xml:space="preserve">modifies any previously dated Orders of Assignment with the same case number as listed in (1).  This </t>
    </r>
    <r>
      <rPr>
        <b/>
        <i/>
        <sz val="10"/>
        <rFont val="Arial"/>
        <family val="2"/>
      </rPr>
      <t>Order of Assignment</t>
    </r>
    <r>
      <rPr>
        <sz val="10"/>
        <rFont val="Arial"/>
        <family val="2"/>
      </rPr>
      <t xml:space="preserve"> is effective immediately upon receipt by an employer or other payor, including self-employed persons, and continues until further order, or until a period of 90 continuous days from the last payment to the obligor (person ordered to make support payments).  If you are again obligated to pay monies to the Obligor within 90 days, you are again bound by this </t>
    </r>
    <r>
      <rPr>
        <b/>
        <sz val="10"/>
        <rFont val="Arial"/>
        <family val="2"/>
      </rPr>
      <t xml:space="preserve">Order of Assignment.  Payments must be sent to the Clearinghouse within two business days after the obligor is paid.                                         </t>
    </r>
  </si>
  <si>
    <t>All payments shall be sent to:</t>
  </si>
  <si>
    <t>Support Payment Clearinghouse</t>
  </si>
  <si>
    <t>P.O. Box 52107</t>
  </si>
  <si>
    <t>Phoenix, AZ 85072-2107</t>
  </si>
  <si>
    <r>
      <t xml:space="preserve">The ATLAS number above in (2) and the employee's name and social security number in (3) </t>
    </r>
    <r>
      <rPr>
        <u/>
        <sz val="10"/>
        <rFont val="Arial"/>
        <family val="2"/>
      </rPr>
      <t>must</t>
    </r>
    <r>
      <rPr>
        <sz val="10"/>
        <rFont val="Arial"/>
        <family val="2"/>
      </rPr>
      <t xml:space="preserve"> appear on the transmittal payment form or check.  You shall not discharge or otherwise discipline the person named in this assignment, because of service of this </t>
    </r>
    <r>
      <rPr>
        <i/>
        <sz val="10"/>
        <rFont val="Arial"/>
        <family val="2"/>
      </rPr>
      <t>Order of Assignment.</t>
    </r>
  </si>
  <si>
    <t>Date</t>
  </si>
  <si>
    <t>Judicial Officer or Clerk of the Superior Court</t>
  </si>
  <si>
    <t xml:space="preserve"> ATLAS No.</t>
  </si>
  <si>
    <t>THE COURT FINDS that:</t>
  </si>
  <si>
    <t>1.</t>
  </si>
  <si>
    <t>Name</t>
  </si>
  <si>
    <t>Date of Birth</t>
  </si>
  <si>
    <t>2.</t>
  </si>
  <si>
    <t>3.</t>
  </si>
  <si>
    <t>4.</t>
  </si>
  <si>
    <t>5.</t>
  </si>
  <si>
    <t>IT IS ORDERED that:</t>
  </si>
  <si>
    <t>6.</t>
  </si>
  <si>
    <t>7.</t>
  </si>
  <si>
    <t>8.</t>
  </si>
  <si>
    <t>9.</t>
  </si>
  <si>
    <t>10.</t>
  </si>
  <si>
    <t>IMPORTANT INFORMATION:</t>
  </si>
  <si>
    <t>On the date of the child's marriage.</t>
  </si>
  <si>
    <t>When the child is adopted.</t>
  </si>
  <si>
    <t>When the child dies.</t>
  </si>
  <si>
    <t>Judicial Officer</t>
  </si>
  <si>
    <t>Guidelines in the amount of</t>
  </si>
  <si>
    <t>Nearest 1 Digit Fraction</t>
  </si>
  <si>
    <t>Father's Percent Income</t>
  </si>
  <si>
    <t>Range</t>
  </si>
  <si>
    <t>Father's # (x %)</t>
  </si>
  <si>
    <t>Mother's #</t>
  </si>
  <si>
    <t>.9 to 1.0</t>
  </si>
  <si>
    <t>Child 1</t>
  </si>
  <si>
    <t>Child 2</t>
  </si>
  <si>
    <t>Child 3</t>
  </si>
  <si>
    <t>Child 4</t>
  </si>
  <si>
    <t>Child 5</t>
  </si>
  <si>
    <t>Child 6</t>
  </si>
  <si>
    <t>.775 to .9</t>
  </si>
  <si>
    <t>.7083 to .775</t>
  </si>
  <si>
    <t>.6333 to .7083</t>
  </si>
  <si>
    <t>.55 to .6333</t>
  </si>
  <si>
    <t>.45 to .55</t>
  </si>
  <si>
    <t>.3666 to .45</t>
  </si>
  <si>
    <t>.2916 to .3666</t>
  </si>
  <si>
    <t>.225 to .2916</t>
  </si>
  <si>
    <t>.1 to .225</t>
  </si>
  <si>
    <t>0/1</t>
  </si>
  <si>
    <t>0 to .1</t>
  </si>
  <si>
    <t>Number of Children:</t>
  </si>
  <si>
    <t>Less Than or Equal To</t>
  </si>
  <si>
    <t>Lookup Factor</t>
  </si>
  <si>
    <t>Fraction</t>
  </si>
  <si>
    <t>Lookup Factor:</t>
  </si>
  <si>
    <t>Tax Deduction Table</t>
  </si>
  <si>
    <t>Child's Name</t>
  </si>
  <si>
    <t>Calculated Lookup Factor:</t>
  </si>
  <si>
    <t>Judicial Lookup Factor:</t>
  </si>
  <si>
    <t>Calculated Lookup Factor</t>
  </si>
  <si>
    <t>No. of Children, Child No.  .Fraction</t>
  </si>
  <si>
    <t>**</t>
  </si>
  <si>
    <t>Parent Entitled To Deduction For Each Calendar Year</t>
  </si>
  <si>
    <r>
      <t xml:space="preserve">(3)    </t>
    </r>
    <r>
      <rPr>
        <b/>
        <sz val="10"/>
        <rFont val="Arial"/>
        <family val="2"/>
      </rPr>
      <t>Name:</t>
    </r>
  </si>
  <si>
    <t xml:space="preserve">SSN:   </t>
  </si>
  <si>
    <t>Age of Child</t>
  </si>
  <si>
    <t>No. of Ded.</t>
  </si>
  <si>
    <t>Father's Actual % of Income:</t>
  </si>
  <si>
    <t>Father's % of Income From Above:</t>
  </si>
  <si>
    <t>payment, in which case, the total amount listed above shall continue to be withheld until further order.</t>
  </si>
  <si>
    <t>unless it includes an arrearage</t>
  </si>
  <si>
    <t>Customized Tax Allocation Table</t>
  </si>
  <si>
    <t>Age</t>
  </si>
  <si>
    <t>Customized Allocation of Deductions By Year</t>
  </si>
  <si>
    <t>Income Greater Than</t>
  </si>
  <si>
    <t>Parent Entitled To Deduction Per Schedule</t>
  </si>
  <si>
    <r>
      <t xml:space="preserve">Enter </t>
    </r>
    <r>
      <rPr>
        <b/>
        <sz val="10"/>
        <rFont val="Arial"/>
        <family val="2"/>
      </rPr>
      <t>Father's</t>
    </r>
    <r>
      <rPr>
        <sz val="10"/>
        <rFont val="Arial"/>
        <family val="2"/>
      </rPr>
      <t xml:space="preserve"> Fractional Share of Income, Or Enter "2" To Customize Tax Allocation Below:</t>
    </r>
  </si>
  <si>
    <t>Alternate Lookup Factor</t>
  </si>
  <si>
    <t>.</t>
  </si>
  <si>
    <t>Presumptive Termination Date Is:</t>
  </si>
  <si>
    <t>SSN:</t>
  </si>
  <si>
    <t>CURRENT EMPLOYER INFORMATION</t>
  </si>
  <si>
    <t>This form is also available as an interactive form on the Family Support Center Website.</t>
  </si>
  <si>
    <t>http://www.familysupportcenter.maricopa.gov</t>
  </si>
  <si>
    <t>CASE NUMBER:</t>
  </si>
  <si>
    <t>ATLAS NUMBER:</t>
  </si>
  <si>
    <t>PAYOR NAME:</t>
  </si>
  <si>
    <r>
      <t>(</t>
    </r>
    <r>
      <rPr>
        <i/>
        <sz val="9"/>
        <rFont val="Arial"/>
        <family val="2"/>
      </rPr>
      <t>PERSON TO MAKE PAYMENTS</t>
    </r>
    <r>
      <rPr>
        <sz val="9"/>
        <rFont val="Arial"/>
        <family val="2"/>
      </rPr>
      <t>)</t>
    </r>
  </si>
  <si>
    <t>WA/FSC</t>
  </si>
  <si>
    <t>WA/LOG ID:</t>
  </si>
  <si>
    <t>TYPE OF W/A:</t>
  </si>
  <si>
    <t>DATE:</t>
  </si>
  <si>
    <t>AMOUNT TO ORDER:</t>
  </si>
  <si>
    <t>EMPLOYER STATUS:</t>
  </si>
  <si>
    <t>ENTERED BY:</t>
  </si>
  <si>
    <t>NEW W/A:</t>
  </si>
  <si>
    <t>SUB:</t>
  </si>
  <si>
    <t>AG:</t>
  </si>
  <si>
    <t>DCSE:</t>
  </si>
  <si>
    <t>Primary Residential Parent Is (X):</t>
  </si>
  <si>
    <t xml:space="preserve"> </t>
  </si>
  <si>
    <t>On the child's 18th birthday and graduation from high school or age 19 (which ever comes first).</t>
  </si>
  <si>
    <t>Child Support Order</t>
  </si>
  <si>
    <t>Current Child Support:</t>
  </si>
  <si>
    <t>Support After Deviation:</t>
  </si>
  <si>
    <t>Monthly Payments:</t>
  </si>
  <si>
    <t>Judgment</t>
  </si>
  <si>
    <t>Monthly Payment</t>
  </si>
  <si>
    <t xml:space="preserve"> Current Child Support:</t>
  </si>
  <si>
    <t>Uninsured Medical:</t>
  </si>
  <si>
    <t>Transportation:</t>
  </si>
  <si>
    <t>Customize Tax Deduction Table</t>
  </si>
  <si>
    <t>Tax Deductions To Be Ordered As Below or</t>
  </si>
  <si>
    <t>Customized Tax Allocation</t>
  </si>
  <si>
    <t>Other Findings &amp; Orders:</t>
  </si>
  <si>
    <t>Deviation:</t>
  </si>
  <si>
    <t>Past Support.</t>
  </si>
  <si>
    <t>and her date of birth is</t>
  </si>
  <si>
    <t>Paternity.</t>
  </si>
  <si>
    <t>and his date of birth is</t>
  </si>
  <si>
    <t>Presumptive Father.</t>
  </si>
  <si>
    <t>The presumptive father of the minor child was married to the mother of the child, but the presumption of paternity is rebutted by clear and convincing evidence that establishes that the presumptive father is not the natural father of the child.</t>
  </si>
  <si>
    <t>The presumptive father of the minor children was married to the mother of the children, but the presumption of paternity is rebutted by clear and convincing evidence that establishes that the presumptive father is not the natural father of the children.</t>
  </si>
  <si>
    <r>
      <t>Jurisdiction.</t>
    </r>
    <r>
      <rPr>
        <sz val="10"/>
        <rFont val="Arial"/>
        <family val="2"/>
      </rPr>
      <t xml:space="preserve">  This Court has jurisdiction over the parties and issues presented, and proper service of process has been properly completed on all parties as required by law.</t>
    </r>
  </si>
  <si>
    <t>11.</t>
  </si>
  <si>
    <r>
      <t xml:space="preserve">Child Support Guidelines.  </t>
    </r>
    <r>
      <rPr>
        <sz val="10"/>
        <rFont val="Arial"/>
        <family val="2"/>
      </rPr>
      <t>The required financial factors and any discretionary adjustments pursuant to the Arizona Child Support Guidelines are as set forth in the Child Support Worksheet, attached and incorporated herein by reference.</t>
    </r>
  </si>
  <si>
    <t>12.</t>
  </si>
  <si>
    <t>13.</t>
  </si>
  <si>
    <t>14.</t>
  </si>
  <si>
    <t>Arrearage Judgment.</t>
  </si>
  <si>
    <t>Against</t>
  </si>
  <si>
    <t>15.</t>
  </si>
  <si>
    <t>as follows:</t>
  </si>
  <si>
    <t>Current Child Support payment as ordered above:</t>
  </si>
  <si>
    <t>Total Monthly Payment:</t>
  </si>
  <si>
    <t xml:space="preserve">Petitioner  </t>
  </si>
  <si>
    <t>Respondent</t>
  </si>
  <si>
    <t>Clearinghouse handling fee:</t>
  </si>
  <si>
    <r>
      <t>Birth Certifiicate</t>
    </r>
    <r>
      <rPr>
        <b/>
        <sz val="10"/>
        <rFont val="Arial"/>
        <family val="2"/>
      </rPr>
      <t>:</t>
    </r>
  </si>
  <si>
    <t>If the above-named child was born in the State of Arizona, the Clerk of this Court shall send a copy of this Judgment and Order to the Office of Vital Records, Department of Health Services, which shall establish, pursuant to A.R.S. §36-323, a new birth certificate for the child to include the natural father established herein as the father of the child on the birth certificate.</t>
  </si>
  <si>
    <t>1 Child</t>
  </si>
  <si>
    <t>2+Children</t>
  </si>
  <si>
    <t>For the above-named children born in the State of Arizona, the Clerk of this Court shall send a copy of this Judgment and Order to the Office of Vital Records, Department of Health Services, which shall establish, pursuant to A.R.S. §36-323, new birth certificates for the children to include the natural father established herein as the father of each child on the birth certificate.</t>
  </si>
  <si>
    <t>Default</t>
  </si>
  <si>
    <t>For the above-named child(ren) born in the State of Arizona, the Clerk of this Court shall send a copy of this Judgment and Order to the Office of Vital Records, Department of Health Services, which shall establish, pursuant to A.R.S. §36-323, (a) new birth certificate(s) for the child(ren) to include the natural father established herein as the father of each child on the birth certificate.</t>
  </si>
  <si>
    <t>Sum</t>
  </si>
  <si>
    <t>1 Child (100) or 2+ Children (200)</t>
  </si>
  <si>
    <t>First Line Lookup Factor (+1)</t>
  </si>
  <si>
    <t>Second Line Lookup Factor (+2)</t>
  </si>
  <si>
    <t>Petitioner</t>
  </si>
  <si>
    <t>Third Line Lookup Factor (Order) (+3)</t>
  </si>
  <si>
    <t>Custodial Mother (10) Custodial Father (20) Neither One Listed (30)</t>
  </si>
  <si>
    <r>
      <t>Presumptive Father</t>
    </r>
    <r>
      <rPr>
        <b/>
        <sz val="10"/>
        <rFont val="Arial"/>
        <family val="2"/>
      </rPr>
      <t>:</t>
    </r>
  </si>
  <si>
    <t>The presumptive father of the minor children was married to the mother of the children, but he is not the natural father of the minor children.  The presumptive father admits his non-paternity, has waived his rights to contest paternity, and has waived all legal rights he may have to the above-named children.</t>
  </si>
  <si>
    <t>The presumptive father of the minor child was married to the mother of the child, but he is not the natural father of the minor child.  The presumptive father admits his non-paternity, has waived his rights to contest paternity, and has waived all legal rights he may have to the above-named child.</t>
  </si>
  <si>
    <t>Tax Deductions.</t>
  </si>
  <si>
    <r>
      <t xml:space="preserve">Information Exchange.  </t>
    </r>
    <r>
      <rPr>
        <sz val="10"/>
        <rFont val="Arial"/>
        <family val="2"/>
      </rPr>
      <t>The parties shall exchange financial information such as copies of tax returns, earnings statements, a Parent's Worksheet for Child Support Amount, residential addresses and the names and addresses of their employers every 24 months.</t>
    </r>
  </si>
  <si>
    <r>
      <t xml:space="preserve">Travel Costs.  </t>
    </r>
    <r>
      <rPr>
        <sz val="10"/>
        <rFont val="Arial"/>
        <family val="2"/>
      </rPr>
      <t>The costs of travel related to parenting time over 100 miles away shall be shared as follows:</t>
    </r>
  </si>
  <si>
    <r>
      <t xml:space="preserve">Uninsured Costs.  </t>
    </r>
    <r>
      <rPr>
        <sz val="10"/>
        <rFont val="Arial"/>
        <family val="2"/>
      </rPr>
      <t>The costs of medical, dental and vision expenses not paid by insurance shall be shared as follows:</t>
    </r>
  </si>
  <si>
    <t>16.</t>
  </si>
  <si>
    <t>No Deviation</t>
  </si>
  <si>
    <t>Stipulation and Attorney's Signature:</t>
  </si>
  <si>
    <t>Schedule of Basic Support Obligations</t>
  </si>
  <si>
    <t>This Schedule is only part of the overall guidelines and must be used together with the accompanying information</t>
  </si>
  <si>
    <t>One Child</t>
  </si>
  <si>
    <t>Two Children</t>
  </si>
  <si>
    <t>Three Children</t>
  </si>
  <si>
    <t>Four Children</t>
  </si>
  <si>
    <t>Five Children</t>
  </si>
  <si>
    <t>Six Children</t>
  </si>
  <si>
    <t>Override #</t>
  </si>
  <si>
    <t xml:space="preserve">Less Self Support Reserve Amount:  </t>
  </si>
  <si>
    <t>Less Paid Arrearages Allowed:</t>
  </si>
  <si>
    <t>$</t>
  </si>
  <si>
    <r>
      <t xml:space="preserve">Self Support Reserve Test </t>
    </r>
    <r>
      <rPr>
        <b/>
        <sz val="10"/>
        <rFont val="Arial"/>
        <family val="2"/>
      </rPr>
      <t>Not</t>
    </r>
    <r>
      <rPr>
        <sz val="10"/>
        <rFont val="Arial"/>
        <family val="2"/>
      </rPr>
      <t xml:space="preserve"> Applied (</t>
    </r>
    <r>
      <rPr>
        <b/>
        <sz val="10"/>
        <rFont val="Arial"/>
        <family val="2"/>
      </rPr>
      <t>X</t>
    </r>
    <r>
      <rPr>
        <sz val="10"/>
        <rFont val="Arial"/>
        <family val="2"/>
      </rPr>
      <t>):</t>
    </r>
  </si>
  <si>
    <t>Child Support.</t>
  </si>
  <si>
    <t xml:space="preserve">Case No. </t>
  </si>
  <si>
    <t>Monthly Childcare Costs For</t>
  </si>
  <si>
    <t>[Discretionary]</t>
  </si>
  <si>
    <t>*The $5.00 Handling Fee is subject to statutory change pursuant to A.R.S. §25-510.  ** No more than 50% of the employee's disposable earnings may be taken to satisfy an order issued for support or spousal maintenance.</t>
  </si>
  <si>
    <t>Actual</t>
  </si>
  <si>
    <t>Blue</t>
  </si>
  <si>
    <t>Yellow</t>
  </si>
  <si>
    <t>Green</t>
  </si>
  <si>
    <t>Estimated</t>
  </si>
  <si>
    <r>
      <t>IVD Case (</t>
    </r>
    <r>
      <rPr>
        <b/>
        <sz val="10"/>
        <rFont val="Arial"/>
        <family val="2"/>
      </rPr>
      <t>X</t>
    </r>
    <r>
      <rPr>
        <sz val="10"/>
        <rFont val="Arial"/>
        <family val="2"/>
      </rPr>
      <t>):</t>
    </r>
  </si>
  <si>
    <r>
      <t>Petitioner is (</t>
    </r>
    <r>
      <rPr>
        <b/>
        <sz val="10"/>
        <rFont val="Arial"/>
        <family val="2"/>
      </rPr>
      <t>X</t>
    </r>
    <r>
      <rPr>
        <sz val="10"/>
        <rFont val="Arial"/>
        <family val="2"/>
      </rPr>
      <t>):</t>
    </r>
  </si>
  <si>
    <t xml:space="preserve"> Mother</t>
  </si>
  <si>
    <t xml:space="preserve"> Father</t>
  </si>
  <si>
    <t>Youngest Child's Grade</t>
  </si>
  <si>
    <t>Show Date Other Than Today's Date (Optional):</t>
  </si>
  <si>
    <t>Show Alternative Past Calculation Period (Optional):</t>
  </si>
  <si>
    <t>Youngest Child</t>
  </si>
  <si>
    <t xml:space="preserve">Mother's  </t>
  </si>
  <si>
    <t xml:space="preserve">Father's  </t>
  </si>
  <si>
    <t>No. of Children</t>
  </si>
  <si>
    <t>&gt;12</t>
  </si>
  <si>
    <t>Total</t>
  </si>
  <si>
    <t>&lt;13</t>
  </si>
  <si>
    <t>Final</t>
  </si>
  <si>
    <t>Max. C.S.</t>
  </si>
  <si>
    <t>)     )     )     )     )     )     )     )     )</t>
  </si>
  <si>
    <t>Judicial Officer Fill-in: (Information highlighted in Blue is required to complete Worksheet).</t>
  </si>
  <si>
    <t>Instructions:  Start at top (Ctrl + Home) &amp; use "Tab" key to navigate to information boxes.</t>
  </si>
  <si>
    <t>Round Without Deviation to:</t>
  </si>
  <si>
    <t>and ending:</t>
  </si>
  <si>
    <t>calculated thru:</t>
  </si>
  <si>
    <t>Child Support Order or Paternity Judgment</t>
  </si>
  <si>
    <t>Past Support Judgment.</t>
  </si>
  <si>
    <t>Support Arrears.</t>
  </si>
  <si>
    <t>Medical Insurance.</t>
  </si>
  <si>
    <t>earnings statements, a Parent's Worksheet for Child Support Amount, residential addresses and the names and addresses of their employers every 24 months.</t>
  </si>
  <si>
    <t>remain in full force and effect.</t>
  </si>
  <si>
    <t xml:space="preserve"> Child Support Arrearage:</t>
  </si>
  <si>
    <t>Paternity Expenses.</t>
  </si>
  <si>
    <t xml:space="preserve"> Paternity Expenses:</t>
  </si>
  <si>
    <t xml:space="preserve"> Current Spousal Maintenance:</t>
  </si>
  <si>
    <t>Past Due Spousal Maintenance</t>
  </si>
  <si>
    <t xml:space="preserve"> Past Due Spousal Maintenance:</t>
  </si>
  <si>
    <t xml:space="preserve"> Clearinghouse Handling Fee:</t>
  </si>
  <si>
    <t>Past Due Spousal Maintenance payment:</t>
  </si>
  <si>
    <t>Current Spousal Maintenance payment:</t>
  </si>
  <si>
    <t>Child Support Arrearage Judgment (From Prior Orders):</t>
  </si>
  <si>
    <t>Past Child Support Judgment (A.R.S. §25-320(B) &amp; (C)) or §25-809(B)):</t>
  </si>
  <si>
    <t>Past Child Support Judgment:</t>
  </si>
  <si>
    <t xml:space="preserve">        Total Monthly Payment:</t>
  </si>
  <si>
    <t>Paternity Expenses Judgment (Actual costs of pregnancy, childbirth, genetic testing etc. per §25-809(C)):</t>
  </si>
  <si>
    <r>
      <t xml:space="preserve">remains responsible for the full monthly amount ordered.  Payments not made directly through the Support Payment Clearinghouse shall be considered </t>
    </r>
    <r>
      <rPr>
        <i/>
        <sz val="10"/>
        <rFont val="Arial"/>
        <family val="2"/>
      </rPr>
      <t>gifts</t>
    </r>
    <r>
      <rPr>
        <sz val="10"/>
        <rFont val="Arial"/>
        <family val="2"/>
      </rPr>
      <t xml:space="preserve"> unless otherwise ordered.  All payments shall be made payable to and mailed directly to:</t>
    </r>
  </si>
  <si>
    <t>submit address changes within 10 days of the change.</t>
  </si>
  <si>
    <t>shared as follows:</t>
  </si>
  <si>
    <t>until the court enters an order modifying upon request of one of the parties or when the youngest child is emancipated.  A child is emancipated:</t>
  </si>
  <si>
    <t>Remove all remaining Blue shading in above Worksheet for printing (X):</t>
  </si>
  <si>
    <r>
      <t xml:space="preserve">Clearinghouse.  </t>
    </r>
    <r>
      <rPr>
        <sz val="10"/>
        <rFont val="Arial"/>
        <family val="2"/>
      </rPr>
      <t>All payments shall be made through the Support Payment Clearinghouse pursuant to</t>
    </r>
  </si>
  <si>
    <r>
      <t xml:space="preserve">Addresses.  </t>
    </r>
    <r>
      <rPr>
        <sz val="10"/>
        <rFont val="Arial"/>
        <family val="2"/>
      </rPr>
      <t>Pursuant to A.R.S. §25-322, the parties shall submit current address information in writing to</t>
    </r>
  </si>
  <si>
    <t xml:space="preserve">payable on the 1st day of each month commencing </t>
  </si>
  <si>
    <t>on the 1st day of each month commencing</t>
  </si>
  <si>
    <t xml:space="preserve"> per month, payable </t>
  </si>
  <si>
    <t xml:space="preserve"> per month,</t>
  </si>
  <si>
    <t xml:space="preserve"> by wage assignment.</t>
  </si>
  <si>
    <r>
      <rPr>
        <b/>
        <sz val="10"/>
        <rFont val="Arial"/>
        <family val="2"/>
      </rPr>
      <t xml:space="preserve">Emancipation.  </t>
    </r>
    <r>
      <rPr>
        <sz val="10"/>
        <rFont val="Arial"/>
        <family val="2"/>
      </rPr>
      <t>Generally the obligation to pay child support in the full amount ordered herein continues</t>
    </r>
  </si>
  <si>
    <r>
      <t xml:space="preserve">Emancipation.  </t>
    </r>
    <r>
      <rPr>
        <sz val="10"/>
        <rFont val="Arial"/>
        <family val="2"/>
      </rPr>
      <t>Generally the obligation to pay child support in the full amount ordered herein continues</t>
    </r>
  </si>
  <si>
    <t>until the court formally modifies this order with a new order upon request of one of the parties or when the youngest child is emancipated.  A child is emancipated:</t>
  </si>
  <si>
    <t xml:space="preserve"> Date of Order Only If Not Today:</t>
  </si>
  <si>
    <t>Name of County To Appear in All Captions is:</t>
  </si>
  <si>
    <t>MARICOPA</t>
  </si>
  <si>
    <t>Paternity Judgment &amp; Order</t>
  </si>
  <si>
    <t>Complete all Yellow boxes that apply to generate either a Child Support Order or Paternity Judgment.</t>
  </si>
  <si>
    <t>To complete Paternity Judgment also complete all Yellow boxes below that apply.</t>
  </si>
  <si>
    <t>Order of Assignment</t>
  </si>
  <si>
    <t xml:space="preserve">Case No.:  </t>
  </si>
  <si>
    <t xml:space="preserve">Petitioner:  </t>
  </si>
  <si>
    <t xml:space="preserve">Respondent:  </t>
  </si>
  <si>
    <t xml:space="preserve">Children:  </t>
  </si>
  <si>
    <r>
      <rPr>
        <b/>
        <sz val="10"/>
        <rFont val="Arial"/>
        <family val="2"/>
      </rPr>
      <t xml:space="preserve">Clearinghouse.  </t>
    </r>
    <r>
      <rPr>
        <sz val="10"/>
        <rFont val="Arial"/>
        <family val="2"/>
      </rPr>
      <t xml:space="preserve">All payments shall be made through the Support Payment Clearinghouse pursuant to an </t>
    </r>
  </si>
  <si>
    <r>
      <rPr>
        <b/>
        <sz val="10"/>
        <rFont val="Arial"/>
        <family val="2"/>
      </rPr>
      <t xml:space="preserve">Current Addresses.  </t>
    </r>
    <r>
      <rPr>
        <sz val="10"/>
        <rFont val="Arial"/>
        <family val="2"/>
      </rPr>
      <t xml:space="preserve">Pursuant to A.R.S. §25-322, the parties shall submit current address information in </t>
    </r>
  </si>
  <si>
    <r>
      <t xml:space="preserve"> </t>
    </r>
    <r>
      <rPr>
        <b/>
        <sz val="10"/>
        <rFont val="Arial"/>
        <family val="2"/>
      </rPr>
      <t xml:space="preserve">Uninsured Costs.  </t>
    </r>
    <r>
      <rPr>
        <sz val="10"/>
        <rFont val="Arial"/>
        <family val="2"/>
      </rPr>
      <t>The costs of medical, dental and vision expenses not paid by insurance shall be</t>
    </r>
  </si>
  <si>
    <r>
      <rPr>
        <b/>
        <sz val="10"/>
        <rFont val="Arial"/>
        <family val="2"/>
      </rPr>
      <t xml:space="preserve">Travel Costs.  </t>
    </r>
    <r>
      <rPr>
        <sz val="10"/>
        <rFont val="Arial"/>
        <family val="2"/>
      </rPr>
      <t>The costs of travel related to parenting time over 100 miles away shall be shared as follows:</t>
    </r>
  </si>
  <si>
    <r>
      <rPr>
        <b/>
        <sz val="10"/>
        <rFont val="Arial"/>
        <family val="2"/>
      </rPr>
      <t xml:space="preserve">Information Exchange.  </t>
    </r>
    <r>
      <rPr>
        <sz val="10"/>
        <rFont val="Arial"/>
        <family val="2"/>
      </rPr>
      <t xml:space="preserve">The parties shall exchange financial information including copies of tax returns, </t>
    </r>
  </si>
  <si>
    <r>
      <rPr>
        <b/>
        <sz val="10"/>
        <rFont val="Arial"/>
        <family val="2"/>
      </rPr>
      <t xml:space="preserve">Other Orders.  </t>
    </r>
    <r>
      <rPr>
        <sz val="10"/>
        <rFont val="Arial"/>
        <family val="2"/>
      </rPr>
      <t>If this is a modification of child support, all other prior orders of this Court not modified</t>
    </r>
  </si>
  <si>
    <t>Natural Mother.</t>
  </si>
  <si>
    <t xml:space="preserve">  Paternity Established For:</t>
  </si>
  <si>
    <t xml:space="preserve">  Mother Is:</t>
  </si>
  <si>
    <t xml:space="preserve">  Manner of Entry:</t>
  </si>
  <si>
    <t xml:space="preserve">  Type of Judgment:</t>
  </si>
  <si>
    <t xml:space="preserve">  (Must check one)</t>
  </si>
  <si>
    <t xml:space="preserve">  Presumptive Father (Husband):</t>
  </si>
  <si>
    <t xml:space="preserve">  Custody Order:</t>
  </si>
  <si>
    <t xml:space="preserve">Current Calculated Date Is:  </t>
  </si>
  <si>
    <t xml:space="preserve">Alternate Termination Date:  </t>
  </si>
  <si>
    <t xml:space="preserve"> Medical Support Order to be issued against noncustodian:</t>
  </si>
  <si>
    <t xml:space="preserve">Date of Birth: </t>
  </si>
  <si>
    <t xml:space="preserve"> Paternity Judgment &amp; Order of Support</t>
  </si>
  <si>
    <t xml:space="preserve"> Establishment of Child Support (Post-Paternity)</t>
  </si>
  <si>
    <t xml:space="preserve"> Default Hearing</t>
  </si>
  <si>
    <t xml:space="preserve"> Evidentiary Hearing</t>
  </si>
  <si>
    <t xml:space="preserve"> A.R.S. §25-502(J)</t>
  </si>
  <si>
    <t xml:space="preserve"> By this Judgment &amp; Order.</t>
  </si>
  <si>
    <t xml:space="preserve"> By prior formal Court Order.</t>
  </si>
  <si>
    <t xml:space="preserve"> By Voluntary Acknowledgment filed with the Clerk per A.R.S. §25-812(C).</t>
  </si>
  <si>
    <t xml:space="preserve"> By Voluntary Acknowledgment filed with DES per A.R.S. §25-812(D).</t>
  </si>
  <si>
    <t xml:space="preserve"> There is no Presumptive Father.</t>
  </si>
  <si>
    <t xml:space="preserve"> Presumption rebutted by evidence--He's not the Father.</t>
  </si>
  <si>
    <t xml:space="preserve"> Husband will sign Order of non-paternity &amp; waive rights.</t>
  </si>
  <si>
    <t xml:space="preserve"> No Arrearage Judgment from Prior Support Orders will be entered.</t>
  </si>
  <si>
    <t xml:space="preserve"> Total Arrearage Judgment amount of:</t>
  </si>
  <si>
    <t xml:space="preserve">For period starting on: </t>
  </si>
  <si>
    <t xml:space="preserve">Plus total interest of: </t>
  </si>
  <si>
    <t xml:space="preserve"> No Past Support Judgment will be entered.</t>
  </si>
  <si>
    <t xml:space="preserve"> Enter Judgment for:</t>
  </si>
  <si>
    <t xml:space="preserve"> None Awarded.</t>
  </si>
  <si>
    <t xml:space="preserve"> Enter Judgment For:</t>
  </si>
  <si>
    <t xml:space="preserve"> Attorneys will sign Stipulation</t>
  </si>
  <si>
    <t xml:space="preserve"> Stipulation</t>
  </si>
  <si>
    <t>per month, payable on the 1st day of the month:</t>
  </si>
  <si>
    <t xml:space="preserve"> Commencing on alternate date starting:</t>
  </si>
  <si>
    <t>LIST ONLY THE EMPLOYER'S NAME AND PAYROLL ADDRESS WHERE THE ORDER OF ASSIGNMENT OR STOP WILL BE SENT:</t>
  </si>
  <si>
    <t xml:space="preserve">CURRENT EMPLOYER NAME: </t>
  </si>
  <si>
    <t>City</t>
  </si>
  <si>
    <t>State</t>
  </si>
  <si>
    <t>Zip</t>
  </si>
  <si>
    <t xml:space="preserve">Payroll Mailing Address:   </t>
  </si>
  <si>
    <t xml:space="preserve">City, State zip:   </t>
  </si>
  <si>
    <t xml:space="preserve">Employer Telephone No.:  </t>
  </si>
  <si>
    <t xml:space="preserve">Employer FAX No.:  </t>
  </si>
  <si>
    <t>Default: All Payments Start:</t>
  </si>
  <si>
    <t>Alternative: All Payments Start:</t>
  </si>
  <si>
    <t>Total Monthly Payments.</t>
  </si>
  <si>
    <t>payable on the first (1st) day of each month commencing</t>
  </si>
  <si>
    <t>per month</t>
  </si>
  <si>
    <t>per month, payable on the first (1st) day of each month starting</t>
  </si>
  <si>
    <t xml:space="preserve"> as follows:</t>
  </si>
  <si>
    <r>
      <t xml:space="preserve">  </t>
    </r>
    <r>
      <rPr>
        <b/>
        <sz val="10"/>
        <rFont val="Arial"/>
        <family val="2"/>
      </rPr>
      <t>Worksheet</t>
    </r>
    <r>
      <rPr>
        <sz val="10"/>
        <rFont val="Arial"/>
        <family val="2"/>
      </rPr>
      <t xml:space="preserve"> Only:  Complete all blue fields that apply to generate Worksheet only.</t>
    </r>
  </si>
  <si>
    <r>
      <t xml:space="preserve">  </t>
    </r>
    <r>
      <rPr>
        <b/>
        <sz val="10"/>
        <rFont val="Arial"/>
        <family val="2"/>
      </rPr>
      <t>Child Support Order or Paternity Judgment</t>
    </r>
    <r>
      <rPr>
        <sz val="10"/>
        <rFont val="Arial"/>
        <family val="2"/>
      </rPr>
      <t>: Complete all blue &amp; yellow fields that apply.</t>
    </r>
  </si>
  <si>
    <r>
      <t xml:space="preserve">  </t>
    </r>
    <r>
      <rPr>
        <b/>
        <sz val="10"/>
        <rFont val="Arial"/>
        <family val="2"/>
      </rPr>
      <t>Order of Assignment</t>
    </r>
    <r>
      <rPr>
        <sz val="10"/>
        <rFont val="Arial"/>
        <family val="2"/>
      </rPr>
      <t>: Complete above plus all green fields that apply.</t>
    </r>
  </si>
  <si>
    <t>Information on &amp; below this line will not print.</t>
  </si>
  <si>
    <t>Information on &amp; above this line will not print.</t>
  </si>
  <si>
    <t xml:space="preserve"> Date current petition filed until today per A.R.S. §25-320(B) or §25-809(B).</t>
  </si>
  <si>
    <t xml:space="preserve"> 3 years prior to filing to date of this Order per A.R.S. §25-320(C) or §25-809(B).</t>
  </si>
  <si>
    <t>Child Support Arrearage payments:</t>
  </si>
  <si>
    <r>
      <t xml:space="preserve">Parties </t>
    </r>
    <r>
      <rPr>
        <b/>
        <sz val="10"/>
        <color rgb="FFFF0000"/>
        <rFont val="Arial"/>
        <family val="2"/>
      </rPr>
      <t>agree</t>
    </r>
    <r>
      <rPr>
        <b/>
        <sz val="10"/>
        <rFont val="Arial"/>
        <family val="2"/>
      </rPr>
      <t xml:space="preserve"> to Deviation and Court approves it.</t>
    </r>
  </si>
  <si>
    <r>
      <t xml:space="preserve">Parties </t>
    </r>
    <r>
      <rPr>
        <b/>
        <sz val="10"/>
        <color rgb="FFFF0000"/>
        <rFont val="Arial"/>
        <family val="2"/>
      </rPr>
      <t>do not</t>
    </r>
    <r>
      <rPr>
        <b/>
        <sz val="10"/>
        <rFont val="Arial"/>
        <family val="2"/>
      </rPr>
      <t xml:space="preserve"> agree to Deviation but Court orders it.</t>
    </r>
  </si>
  <si>
    <t>Rounded</t>
  </si>
  <si>
    <t>Both parents shall cooperate and execute all tax waivers and forms necessary to accomplish this allocation.</t>
  </si>
  <si>
    <t>Non-custodian Can Take Deductions:</t>
  </si>
  <si>
    <t xml:space="preserve"> Only If Payments &amp; Ordered Arrearages Paid By December 31</t>
  </si>
  <si>
    <t xml:space="preserve"> Unconditionally Without Regard To Payment History</t>
  </si>
  <si>
    <t>Judge Norman J. Davis</t>
  </si>
  <si>
    <t>INCOME WITHHOLDING FOR SUPPORT</t>
  </si>
  <si>
    <t>State/Tribe/Territory</t>
  </si>
  <si>
    <t>City/County/Dist./Tribe</t>
  </si>
  <si>
    <t xml:space="preserve"> ORIGINAL INCOME WITHHOLDING ORDER/NOTICE FOR SUPPORT (IWO)</t>
  </si>
  <si>
    <t xml:space="preserve"> AMENDED IWO</t>
  </si>
  <si>
    <t xml:space="preserve"> ONE-TIME ORDER/NOTICE FOR LUMP SUM PAYMENT</t>
  </si>
  <si>
    <t xml:space="preserve"> TERMINATION OF IWO</t>
  </si>
  <si>
    <t>Per</t>
  </si>
  <si>
    <t xml:space="preserve"> Child Support Enforcement Agency (CSE) Agency</t>
  </si>
  <si>
    <t xml:space="preserve"> per weekly pay period</t>
  </si>
  <si>
    <t xml:space="preserve"> per biweekly pay period (every two weeks)</t>
  </si>
  <si>
    <t>Employer/Income Withholder's Name</t>
  </si>
  <si>
    <t>Employer/Income Withholder's Address</t>
  </si>
  <si>
    <t xml:space="preserve"> current child support</t>
  </si>
  <si>
    <t xml:space="preserve"> current cash medical support</t>
  </si>
  <si>
    <t xml:space="preserve"> past-due cash medical support</t>
  </si>
  <si>
    <t xml:space="preserve"> current spousal support</t>
  </si>
  <si>
    <t xml:space="preserve"> past-due spousal support</t>
  </si>
  <si>
    <t>Date:</t>
  </si>
  <si>
    <t xml:space="preserve"> Court</t>
  </si>
  <si>
    <t xml:space="preserve"> Attorney</t>
  </si>
  <si>
    <t xml:space="preserve"> Private Individual/Entity  (Check one)</t>
  </si>
  <si>
    <t>RE:</t>
  </si>
  <si>
    <t>Employee/Obligor's Name (Last, First, Middle)</t>
  </si>
  <si>
    <t>Employee/Obligor's Social Security Number</t>
  </si>
  <si>
    <t>Child(ren)'s Birth Date(s)</t>
  </si>
  <si>
    <t xml:space="preserve"> per semimonthly pay period (twice a month)</t>
  </si>
  <si>
    <t xml:space="preserve"> per monthly pay period</t>
  </si>
  <si>
    <t>OMB 0970-0154</t>
  </si>
  <si>
    <t>Remit payment to</t>
  </si>
  <si>
    <t xml:space="preserve">at </t>
  </si>
  <si>
    <t>(SDU/Tribal Payee Adress)</t>
  </si>
  <si>
    <t>(SDU/Tribal Order Payee)</t>
  </si>
  <si>
    <t>Signature of Judge/Issuing Official (if required by State or Tribal law):</t>
  </si>
  <si>
    <t>Print Name of Judge/Issuing Official:</t>
  </si>
  <si>
    <t>Title of Judge/Issuing Official:</t>
  </si>
  <si>
    <t>Date of Signature:</t>
  </si>
  <si>
    <t>ADDITIONAL INFORMATION FOR EMPLOYERS/INCOME WITHHOLDERS</t>
  </si>
  <si>
    <t>Employee/Obligor's Name:</t>
  </si>
  <si>
    <t>Employer's Name:</t>
  </si>
  <si>
    <t>CSE Agency Case Identifier:</t>
  </si>
  <si>
    <t xml:space="preserve">Employer FEIN: </t>
  </si>
  <si>
    <t xml:space="preserve">Order Identifier: </t>
  </si>
  <si>
    <t xml:space="preserve">  This person has never worked for this employer nor received periodic income.</t>
  </si>
  <si>
    <t xml:space="preserve">  This person no longer works for this employer nor receives periodic income.</t>
  </si>
  <si>
    <t>Please provide the following information for the employee/obligor:</t>
  </si>
  <si>
    <t>Termination date:</t>
  </si>
  <si>
    <t>Last known address:</t>
  </si>
  <si>
    <t xml:space="preserve">Last known phone number: </t>
  </si>
  <si>
    <t>Final payment amount:</t>
  </si>
  <si>
    <t>New employer's name:</t>
  </si>
  <si>
    <t xml:space="preserve">New employer's address: </t>
  </si>
  <si>
    <t>CONTACT INFORMATION:</t>
  </si>
  <si>
    <t>Custodial Party/Obligee's Name (Last, First, Middle)</t>
  </si>
  <si>
    <t>Arizona</t>
  </si>
  <si>
    <t>Maricopa</t>
  </si>
  <si>
    <r>
      <rPr>
        <i/>
        <u/>
        <sz val="10"/>
        <rFont val="Arial"/>
        <family val="2"/>
      </rPr>
      <t>Remittance Information</t>
    </r>
    <r>
      <rPr>
        <i/>
        <sz val="10"/>
        <rFont val="Arial"/>
        <family val="2"/>
      </rPr>
      <t>:</t>
    </r>
  </si>
  <si>
    <t>Place of employment</t>
  </si>
  <si>
    <t>Begin withholding within</t>
  </si>
  <si>
    <t>days of 1st pay period after the date of</t>
  </si>
  <si>
    <t>receipt of this Order</t>
  </si>
  <si>
    <t>Maximum % of disposable income to withhold is:</t>
  </si>
  <si>
    <t>013</t>
  </si>
  <si>
    <t>FIPS code is (Maricopa County is 013):</t>
  </si>
  <si>
    <t>SDU/Tribal Order Payee:</t>
  </si>
  <si>
    <t>SDU/Tribal Payee Address:</t>
  </si>
  <si>
    <t>P.O. Box 52107, Phoenix, AZ 85072-2107</t>
  </si>
  <si>
    <r>
      <t>Contact Information</t>
    </r>
    <r>
      <rPr>
        <i/>
        <sz val="10"/>
        <rFont val="Arial"/>
        <family val="2"/>
      </rPr>
      <t>:</t>
    </r>
  </si>
  <si>
    <t>Clerk of Superior Court</t>
  </si>
  <si>
    <t>Employer/Income Withholder to contact Issuer Name:</t>
  </si>
  <si>
    <t>Phone Number:</t>
  </si>
  <si>
    <t>Fax Number:</t>
  </si>
  <si>
    <t>http://www.clerkofcourt.maricopa.gov</t>
  </si>
  <si>
    <t>Notices &amp; Coorespondence to Issuer Address:</t>
  </si>
  <si>
    <t>Employee/Obligor questions, contact:</t>
  </si>
  <si>
    <t>Email or website:</t>
  </si>
  <si>
    <t>Employer/Income Withholder's FEIN:</t>
  </si>
  <si>
    <t xml:space="preserve"> other (must specify)</t>
  </si>
  <si>
    <r>
      <t xml:space="preserve">for a </t>
    </r>
    <r>
      <rPr>
        <b/>
        <sz val="10"/>
        <rFont val="Arial Narrow"/>
        <family val="2"/>
      </rPr>
      <t xml:space="preserve">Total Amount to Withhold </t>
    </r>
    <r>
      <rPr>
        <sz val="10"/>
        <rFont val="Arial Narrow"/>
        <family val="2"/>
      </rPr>
      <t xml:space="preserve">of </t>
    </r>
    <r>
      <rPr>
        <b/>
        <sz val="10"/>
        <rFont val="Arial Narrow"/>
        <family val="2"/>
      </rPr>
      <t/>
    </r>
  </si>
  <si>
    <t>Send payments within working days of pay date:</t>
  </si>
  <si>
    <t>Notices &amp; Coorespondence to Issuer:</t>
  </si>
  <si>
    <t>201 W. Jefferson, Phoenix, AZ 85003</t>
  </si>
  <si>
    <t>Clerk of Superior Court, Family Court Services</t>
  </si>
  <si>
    <t>(602) 506-3762</t>
  </si>
  <si>
    <t>(602) 506-1937</t>
  </si>
  <si>
    <t>To complete Federal Income Withholding Order (IWO) complete all Green boxes below.</t>
  </si>
  <si>
    <t>Type of IWO:</t>
  </si>
  <si>
    <r>
      <t xml:space="preserve"> </t>
    </r>
    <r>
      <rPr>
        <b/>
        <sz val="10"/>
        <rFont val="Arial"/>
        <family val="2"/>
      </rPr>
      <t>Original IWO</t>
    </r>
  </si>
  <si>
    <t xml:space="preserve"> Amended IWO</t>
  </si>
  <si>
    <t xml:space="preserve"> Termination of IWO</t>
  </si>
  <si>
    <t>Issued By:</t>
  </si>
  <si>
    <r>
      <t xml:space="preserve"> </t>
    </r>
    <r>
      <rPr>
        <b/>
        <sz val="10"/>
        <rFont val="Arial"/>
        <family val="2"/>
      </rPr>
      <t>Court</t>
    </r>
  </si>
  <si>
    <t xml:space="preserve"> Child Support Enforcement Agency (CSE)</t>
  </si>
  <si>
    <t xml:space="preserve"> Private Individual/Entity</t>
  </si>
  <si>
    <t xml:space="preserve"> Attorney:</t>
  </si>
  <si>
    <t>Obligor's Employer:</t>
  </si>
  <si>
    <t>Employer Name:</t>
  </si>
  <si>
    <t>Employer Address:</t>
  </si>
  <si>
    <t>City, State zip:</t>
  </si>
  <si>
    <t>Employer's FEIN (if known):</t>
  </si>
  <si>
    <t>Obligor's Name:</t>
  </si>
  <si>
    <t>Social Security No.:</t>
  </si>
  <si>
    <t>Atlas Number:</t>
  </si>
  <si>
    <t>Remittance Identifer:</t>
  </si>
  <si>
    <t>Past -Due Child Support Arrears Great Than 12 Weeks?</t>
  </si>
  <si>
    <t xml:space="preserve"> Yes</t>
  </si>
  <si>
    <t xml:space="preserve"> No</t>
  </si>
  <si>
    <t>Name of Child (Last, First, Middle)</t>
  </si>
  <si>
    <t>Last, First, Middle</t>
  </si>
  <si>
    <t>Cutodian/Obligee's Name:</t>
  </si>
  <si>
    <t>Other amount (specify):</t>
  </si>
  <si>
    <t>Clearinghouse Fee</t>
  </si>
  <si>
    <t>Clearinghouse Fee per month</t>
  </si>
  <si>
    <t xml:space="preserve"> One-Time Order of Lump Sum Payment</t>
  </si>
  <si>
    <t>Name of Judge/Issuing Official:</t>
  </si>
  <si>
    <t>Additional Information:</t>
  </si>
  <si>
    <t>Child(ren)'s Name(s) (Last, First, Middle)</t>
  </si>
  <si>
    <t>Past-Due Cash Medical Support Monthly Payment:</t>
  </si>
  <si>
    <t>fourteen (14)</t>
  </si>
  <si>
    <t>two (2)</t>
  </si>
  <si>
    <t>fifty percent (50%)</t>
  </si>
  <si>
    <t>for the employee/obligor's principal place of employment.</t>
  </si>
  <si>
    <t>Obligor/Employee Works Outside of Arizona:</t>
  </si>
  <si>
    <t>Liability:</t>
  </si>
  <si>
    <t>Anti-discrimination:</t>
  </si>
  <si>
    <t>Past-Due Cash Medical Support (Any Order must be customized in "Other Findings &amp; Orders" above):</t>
  </si>
  <si>
    <t>Cash Medical Support Order (if desired when no insurance coverage available):</t>
  </si>
  <si>
    <r>
      <rPr>
        <b/>
        <u/>
        <sz val="10"/>
        <rFont val="Arial"/>
        <family val="2"/>
      </rPr>
      <t>IV-D Cases Only</t>
    </r>
    <r>
      <rPr>
        <b/>
        <sz val="10"/>
        <rFont val="Arial"/>
        <family val="2"/>
      </rPr>
      <t>:</t>
    </r>
  </si>
  <si>
    <t xml:space="preserve"> Cash Medical Support (Current &amp; Past Due):</t>
  </si>
  <si>
    <t>Cash Medical Support</t>
  </si>
  <si>
    <r>
      <t>(</t>
    </r>
    <r>
      <rPr>
        <i/>
        <sz val="10"/>
        <rFont val="Arial"/>
        <family val="2"/>
      </rPr>
      <t>Does not include IWO because Issuing Official could be different--enter issuinng official for IWO on Worksheet.)</t>
    </r>
  </si>
  <si>
    <r>
      <t xml:space="preserve">To Customize Judicial Signature on </t>
    </r>
    <r>
      <rPr>
        <i/>
        <sz val="11"/>
        <rFont val="Arial"/>
        <family val="2"/>
      </rPr>
      <t xml:space="preserve">Child Support Order </t>
    </r>
    <r>
      <rPr>
        <sz val="11"/>
        <rFont val="Arial"/>
        <family val="2"/>
      </rPr>
      <t xml:space="preserve">and </t>
    </r>
    <r>
      <rPr>
        <i/>
        <sz val="11"/>
        <rFont val="Arial"/>
        <family val="2"/>
      </rPr>
      <t>Paternity Judgment &amp; Order</t>
    </r>
    <r>
      <rPr>
        <sz val="11"/>
        <rFont val="Arial"/>
        <family val="2"/>
      </rPr>
      <t xml:space="preserve"> makes changes here:</t>
    </r>
  </si>
  <si>
    <t>Signature Title that will be inserted if you don't customize below:</t>
  </si>
  <si>
    <r>
      <t>Customized Name to Appear on CSO &amp; PJ&amp;O</t>
    </r>
    <r>
      <rPr>
        <sz val="7"/>
        <rFont val="Arial"/>
        <family val="2"/>
      </rPr>
      <t xml:space="preserve"> (E.g. "Judge John Smith")</t>
    </r>
    <r>
      <rPr>
        <sz val="10"/>
        <rFont val="Arial"/>
        <family val="2"/>
      </rPr>
      <t>:</t>
    </r>
  </si>
  <si>
    <t>Order of Assignment (IWO) Variables That Seldom Change Within a County:</t>
  </si>
  <si>
    <t>Send termination/income status notice and other correspondence to:</t>
  </si>
  <si>
    <t xml:space="preserve"> After 90 days pursuant to A.R.S. § 25-320(L):</t>
  </si>
  <si>
    <t>T</t>
  </si>
  <si>
    <t>P</t>
  </si>
  <si>
    <t>Total:</t>
  </si>
  <si>
    <t>Deductions</t>
  </si>
  <si>
    <t>Total Payment By Order of Assignment:</t>
  </si>
  <si>
    <t xml:space="preserve">        Total Order of Assignment Amount:</t>
  </si>
  <si>
    <t>Paternity Expenses Judgment direct payment:</t>
  </si>
  <si>
    <t xml:space="preserve">          (Complete only for Paternity Judgment &amp; Order if applicable--Not present in Child Support Order.)</t>
  </si>
  <si>
    <t xml:space="preserve"> If checked, the employer/income withholder must provide a copy of this form to the employee/obligor.</t>
  </si>
  <si>
    <t>Proposed Updated Schedule of Basic Support Obligations</t>
  </si>
  <si>
    <t>(July 1, 2015 Guidelines)</t>
  </si>
  <si>
    <t>www.acf.hhs.gov/programs/css/resource/state-income-withholding-contacts-and-program-information</t>
  </si>
  <si>
    <t>OMB Expiration Date--7/31/2017.  The OMB Expiration Date has no bearing on the termination date of the IWO; it identifies the version of the form currently in use.</t>
  </si>
  <si>
    <t>Document Tracking Identifier ______________________________</t>
  </si>
  <si>
    <t>For tribal orders, you may not withhold more than the amounts allowed under the law of the issuing tribe.  For tribal employers/income withholders who receive a state IWO, you may not withhold more than the limit set by tribal law.</t>
  </si>
  <si>
    <t>Depending upon applicable state or tribal law, you may need to also consider the amounts paid for health care premiums in determining disposable income and applying appropriate withholding limits.</t>
  </si>
  <si>
    <t xml:space="preserve">Supplemental Information: </t>
  </si>
  <si>
    <t>IMPORTANT:  The person completing this form is advissed that the information may be shared with the employee/obligor.</t>
  </si>
  <si>
    <t>The Paperwork Reduction Act of 1995</t>
  </si>
  <si>
    <t>Income Withholding Order Information Page</t>
  </si>
  <si>
    <t>Remittance ID (include w/payment)</t>
  </si>
  <si>
    <t>Order ID</t>
  </si>
  <si>
    <t>CSE Agency Case ID</t>
  </si>
  <si>
    <t>(State/Tribe).  You are required to deduct these amounts from the employee/obligor's income until further notice.</t>
  </si>
  <si>
    <r>
      <rPr>
        <b/>
        <i/>
        <sz val="10.5"/>
        <rFont val="Arial Narrow"/>
        <family val="2"/>
      </rPr>
      <t>ORDER INFORMATION:</t>
    </r>
    <r>
      <rPr>
        <sz val="10.5"/>
        <rFont val="Arial Narrow"/>
        <family val="2"/>
      </rPr>
      <t xml:space="preserve">  This document is based on the support or withholding order from </t>
    </r>
  </si>
  <si>
    <r>
      <t xml:space="preserve"> past-due child support - </t>
    </r>
    <r>
      <rPr>
        <b/>
        <sz val="10.5"/>
        <rFont val="Arial Narrow"/>
        <family val="2"/>
      </rPr>
      <t>Arrears greater than 12 weeks?</t>
    </r>
  </si>
  <si>
    <r>
      <t xml:space="preserve"> </t>
    </r>
    <r>
      <rPr>
        <b/>
        <sz val="10.5"/>
        <rFont val="Arial Narrow"/>
        <family val="2"/>
      </rPr>
      <t xml:space="preserve">Lump Sum Payment: </t>
    </r>
    <r>
      <rPr>
        <sz val="10.5"/>
        <rFont val="Arial Narrow"/>
        <family val="2"/>
      </rPr>
      <t>Do not stop any existing IWO unless you receive a termination order.</t>
    </r>
  </si>
  <si>
    <r>
      <t xml:space="preserve">Include the </t>
    </r>
    <r>
      <rPr>
        <b/>
        <i/>
        <sz val="10.5"/>
        <rFont val="Arial Narrow"/>
        <family val="2"/>
      </rPr>
      <t>Remittance Identifier</t>
    </r>
    <r>
      <rPr>
        <b/>
        <sz val="10.5"/>
        <rFont val="Arial Narrow"/>
        <family val="2"/>
      </rPr>
      <t xml:space="preserve"> with the payment</t>
    </r>
    <r>
      <rPr>
        <sz val="10.5"/>
        <rFont val="Arial Narrow"/>
        <family val="2"/>
      </rPr>
      <t xml:space="preserve"> and if necessary this FIPS code:</t>
    </r>
  </si>
  <si>
    <r>
      <t xml:space="preserve"> </t>
    </r>
    <r>
      <rPr>
        <b/>
        <sz val="10.5"/>
        <rFont val="Arial Narrow"/>
        <family val="2"/>
      </rPr>
      <t xml:space="preserve">Return to Sender [Completed by Employer/Income Withholder]. </t>
    </r>
    <r>
      <rPr>
        <sz val="10.5"/>
        <rFont val="Arial Narrow"/>
        <family val="2"/>
      </rPr>
      <t>Payment must be directed to an SDU in accordance</t>
    </r>
  </si>
  <si>
    <r>
      <t xml:space="preserve">with 42 USC §666(b)(5) and (b)(6) or Tribal Payee (see Payments to SDU below).  If payment is not directed to an SDU/Tribal Payee or this IWO is not regular on its face, you </t>
    </r>
    <r>
      <rPr>
        <i/>
        <sz val="10.5"/>
        <rFont val="Arial Narrow"/>
        <family val="2"/>
      </rPr>
      <t>must</t>
    </r>
    <r>
      <rPr>
        <sz val="10.5"/>
        <rFont val="Arial Narrow"/>
        <family val="2"/>
      </rPr>
      <t xml:space="preserve"> check this box and return the IWO to the sender.</t>
    </r>
  </si>
  <si>
    <r>
      <t xml:space="preserve">State-specific contact and withholding information can be found on the Federal Employer Services website located at:  </t>
    </r>
    <r>
      <rPr>
        <u/>
        <sz val="10.5"/>
        <rFont val="Arial Narrow"/>
        <family val="2"/>
      </rPr>
      <t>http://www.acf.hhs.gov/programs/css/resource/state-income-withholding-contacts-and-program-information.</t>
    </r>
  </si>
  <si>
    <r>
      <t xml:space="preserve">Priority: </t>
    </r>
    <r>
      <rPr>
        <sz val="10.5"/>
        <rFont val="Arial Narrow"/>
        <family val="2"/>
      </rPr>
      <t>Withholding for support has priority over any other legal process under State law against the same income (USC 42 §666(b)(7)).  If a Federal tax levy is in effect, please notify the sender.</t>
    </r>
  </si>
  <si>
    <r>
      <t>Arrears greater than 12 weeks?</t>
    </r>
    <r>
      <rPr>
        <sz val="10.5"/>
        <rFont val="Arial Narrow"/>
        <family val="2"/>
      </rPr>
      <t xml:space="preserve">  If the </t>
    </r>
    <r>
      <rPr>
        <i/>
        <sz val="10.5"/>
        <rFont val="Arial Narrow"/>
        <family val="2"/>
      </rPr>
      <t>Order Information</t>
    </r>
    <r>
      <rPr>
        <sz val="10.5"/>
        <rFont val="Arial Narrow"/>
        <family val="2"/>
      </rPr>
      <t xml:space="preserve"> does not indicate that the arrears are greater than 12 weeks, then the employer should calculate the CCPA limit using the lower percentage.</t>
    </r>
  </si>
  <si>
    <r>
      <rPr>
        <b/>
        <u/>
        <sz val="10.5"/>
        <rFont val="Arial Narrow"/>
        <family val="2"/>
      </rPr>
      <t>To Employee/Obligor</t>
    </r>
    <r>
      <rPr>
        <b/>
        <sz val="10.5"/>
        <rFont val="Arial Narrow"/>
        <family val="2"/>
      </rPr>
      <t>:</t>
    </r>
    <r>
      <rPr>
        <sz val="10.5"/>
        <rFont val="Arial Narrow"/>
        <family val="2"/>
      </rPr>
      <t xml:space="preserve">  If the employee/obligor has questions, contact:</t>
    </r>
  </si>
  <si>
    <r>
      <rPr>
        <b/>
        <i/>
        <sz val="10.5"/>
        <rFont val="Arial Narrow"/>
        <family val="2"/>
      </rPr>
      <t>AMOUNTS TO WITHHOLD:</t>
    </r>
    <r>
      <rPr>
        <i/>
        <sz val="10.5"/>
        <rFont val="Arial Narrow"/>
        <family val="2"/>
      </rPr>
      <t xml:space="preserve">  </t>
    </r>
    <r>
      <rPr>
        <sz val="10.5"/>
        <rFont val="Arial Narrow"/>
        <family val="2"/>
      </rPr>
      <t xml:space="preserve">You do not have to vary your pay cycle to be in compliance with the </t>
    </r>
    <r>
      <rPr>
        <i/>
        <sz val="10.5"/>
        <rFont val="Arial Narrow"/>
        <family val="2"/>
      </rPr>
      <t xml:space="preserve">Order Information. </t>
    </r>
    <r>
      <rPr>
        <sz val="10.5"/>
        <rFont val="Arial Narrow"/>
        <family val="2"/>
      </rPr>
      <t xml:space="preserve"> If</t>
    </r>
  </si>
  <si>
    <t>your pay cycle does not match the ordered payment cycle, withhold one of the following amounts:</t>
  </si>
  <si>
    <r>
      <rPr>
        <b/>
        <i/>
        <sz val="10.5"/>
        <rFont val="Arial Narrow"/>
        <family val="2"/>
      </rPr>
      <t>REMITTANCE INFORMATION:</t>
    </r>
    <r>
      <rPr>
        <sz val="10.5"/>
        <rFont val="Arial Narrow"/>
        <family val="2"/>
      </rPr>
      <t xml:space="preserve">  If the employee/obligor's principal place of employment is</t>
    </r>
  </si>
  <si>
    <r>
      <t xml:space="preserve">For electronic payment requirements and centralized payment collection and disbursement facility information (State Disbursement Unit (SDU)), see </t>
    </r>
    <r>
      <rPr>
        <u/>
        <sz val="10.5"/>
        <rFont val="Arial Narrow"/>
        <family val="2"/>
      </rPr>
      <t>www.acf.hhs.gov/programs/css/employers/electronic-payments</t>
    </r>
    <r>
      <rPr>
        <sz val="10.5"/>
        <rFont val="Arial Narrow"/>
        <family val="2"/>
      </rPr>
      <t>.</t>
    </r>
  </si>
  <si>
    <r>
      <t xml:space="preserve">Combined Payments: </t>
    </r>
    <r>
      <rPr>
        <sz val="10.5"/>
        <rFont val="Arial Narrow"/>
        <family val="2"/>
      </rPr>
      <t>When remitting payments to an SDU or tribal CSE agency, you may combine withheld amounts from more than one employee/obligor's income in a single payment.  You must, however, separately identify each employee/obligor's portion of the payment.</t>
    </r>
  </si>
  <si>
    <r>
      <t xml:space="preserve">Payments To SDU:  </t>
    </r>
    <r>
      <rPr>
        <sz val="10.5"/>
        <rFont val="Arial Narrow"/>
        <family val="2"/>
      </rPr>
      <t>You must send child support payments payable by income withholding to the appropriate SDU or to a tribal CSE agency.  If this IWO instructs you to send a payment to an entity other than an SDU (e.g. payable to the custodial party, court, or attorney), you must check the box above and return this notice to the sender.  Exception:  If this IWO was sent by a court, attorney, or private individual/entity and the initial order was entered before January 1, 1994 or the order was issued by a Tribal CSE agency, you must follow the "Remit payment to" instructions on this form.</t>
    </r>
  </si>
  <si>
    <r>
      <rPr>
        <b/>
        <sz val="10.5"/>
        <rFont val="Arial Narrow"/>
        <family val="2"/>
      </rPr>
      <t xml:space="preserve">Reporting the Pay Date:  </t>
    </r>
    <r>
      <rPr>
        <sz val="10.5"/>
        <rFont val="Arial Narrow"/>
        <family val="2"/>
      </rPr>
      <t>You must report the pay date when sending the payment.  The pay date is the date on which the amount was withheld from the employee/obligor's wages.  You must comply with the law of the state (or tribal law if applicable) of the employee/obligor's principal place of employment regarding time periods within which you must implement the withholding and forward the support payments.</t>
    </r>
  </si>
  <si>
    <r>
      <t>Lump Sum Payments:</t>
    </r>
    <r>
      <rPr>
        <sz val="10.5"/>
        <rFont val="Arial Narrow"/>
        <family val="2"/>
      </rPr>
      <t xml:space="preserve">  You may be required to notify a state or tribal CSE agency of upcoming lump sum payments to this employee/obligor such as bonuses, commissions, or severance pay. Contact the sender to determine if you are required to report and/or withhold lump sum payments.</t>
    </r>
  </si>
  <si>
    <r>
      <t xml:space="preserve">Liability:  </t>
    </r>
    <r>
      <rPr>
        <sz val="10.5"/>
        <rFont val="Arial Narrow"/>
        <family val="2"/>
      </rPr>
      <t>If you have any doubts about the validity of this IWO, contact the sender. If you fail to withhold income from the employee/obligor's income as the IWO directs, you are liable for both the accumulated amount you should have withheld and any penalties set by state or tribal law/procedure.</t>
    </r>
  </si>
  <si>
    <r>
      <t xml:space="preserve">Anti-discrimination:  </t>
    </r>
    <r>
      <rPr>
        <sz val="10.5"/>
        <rFont val="Arial Narrow"/>
        <family val="2"/>
      </rPr>
      <t xml:space="preserve">You are subject to a fine determined under state or tribal law for discharging an employee/obligor from employment, refusing to employ, or taking disciplinary action against an employee/obligor because of this IWO. </t>
    </r>
  </si>
  <si>
    <r>
      <t xml:space="preserve">Withholding Limits:  </t>
    </r>
    <r>
      <rPr>
        <sz val="10.5"/>
        <rFont val="Arial Narrow"/>
        <family val="2"/>
      </rPr>
      <t xml:space="preserve">You may not withhold more than the lesser of:  1) the amounts allowed by the Federal Consumer Credit Protection Act (CCPA) (15 U.S.C. 1673(b)); or 2) the amounts allowed by the state of the employee/obligor's principal place of employment or tribal law if a tribal order (see </t>
    </r>
    <r>
      <rPr>
        <i/>
        <sz val="10.5"/>
        <rFont val="Arial Narrow"/>
        <family val="2"/>
      </rPr>
      <t>REMITTANCE INFORMATION</t>
    </r>
    <r>
      <rPr>
        <sz val="10.5"/>
        <rFont val="Arial Narrow"/>
        <family val="2"/>
      </rPr>
      <t>). Disposable income is the net income left after making mandatory deductions such as: state, federal, local taxes; Social Security taxes; statutory pension contributions; and Medicare taxes.  The Federal limit is 50% of the disposable income if the obligor is supporting another family and 60% of the disposable income if the obligor is not supporting another family.  However, those limits increase 5% -- to 55% and 65% -- if the arrears are greater than 12 weeks.  If permitted by the state or tribe, you may deduct a fee for administrative costs.  The combined support amount and fee may not exceed the limit indicated in this section.</t>
    </r>
  </si>
  <si>
    <r>
      <t xml:space="preserve">NOTIFICATION OF EMPLOYMENT TERMINATION OR INCOME STATUS:  </t>
    </r>
    <r>
      <rPr>
        <sz val="10.5"/>
        <rFont val="Arial Narrow"/>
        <family val="2"/>
      </rPr>
      <t>If this employee/obligor never worked for you or you are no longer withholding income for this employee/obligor, an employer must promptly notify the CSE agency and/or the sender by returning this form to the address listed in the contact information below:</t>
    </r>
  </si>
  <si>
    <t>Final payment date to SDU/tribal payee:</t>
  </si>
  <si>
    <r>
      <t>To Employer/Income Withholder</t>
    </r>
    <r>
      <rPr>
        <b/>
        <sz val="10.5"/>
        <rFont val="Arial Narrow"/>
        <family val="2"/>
      </rPr>
      <t xml:space="preserve">:  </t>
    </r>
    <r>
      <rPr>
        <sz val="10.5"/>
        <rFont val="Arial Narrow"/>
        <family val="2"/>
      </rPr>
      <t>If you have any questions, contact</t>
    </r>
  </si>
  <si>
    <t>(issuer name)</t>
  </si>
  <si>
    <t>(issuer address)</t>
  </si>
  <si>
    <t>This information collection and associated responses are conducted in accordance with 45 CFR 303.100 of the Child Support Enforcement Program.  Ths form is designed to provide uniformity and standardization.  Public reporting burden for this collection of information is estimated to average 5 minutes per response for Non-IV-D CPs; 2 minutes per response for employers; 3 seconds for e-IWO employers, including the time for reviewing instructions, gathering and maintaining the data needed, and reviewing the collection of information.</t>
  </si>
  <si>
    <t>An agency may not conduct or sponsor, and a person is not required to respond to, a collection of information unless it displays a currently valid OMB control number.</t>
  </si>
  <si>
    <r>
      <rPr>
        <b/>
        <u/>
        <sz val="11"/>
        <rFont val="Arial Narrow"/>
        <family val="2"/>
      </rPr>
      <t>Presumptive Termination Date:</t>
    </r>
    <r>
      <rPr>
        <b/>
        <sz val="11"/>
        <rFont val="Arial Narrow"/>
        <family val="2"/>
      </rPr>
      <t xml:space="preserve"> </t>
    </r>
  </si>
  <si>
    <t>when the youngest child who is subject to this order is expected to emancipate as defined in A.R.S. §§ 25-320 and 25-501.  The presumptive termination date of this order may be modified by the court upon changed circumstances.</t>
  </si>
  <si>
    <t xml:space="preserve">Note to Employers/Other Withholders:  </t>
  </si>
  <si>
    <t>If the most recent Income Withholding Order in the case is for current child support only, you should discontinue withholding monies after the last pay period of the month of the presumptive termination date above.  If the Income Withholding Order includes current child support and an arrearage payment, you should continue withholding the entire amount listed on the order until further notice.</t>
  </si>
  <si>
    <r>
      <t xml:space="preserve">This order is presumed to terminate on the </t>
    </r>
    <r>
      <rPr>
        <b/>
        <sz val="11"/>
        <rFont val="Arial Narrow"/>
        <family val="2"/>
      </rPr>
      <t>presumptive termination date</t>
    </r>
    <r>
      <rPr>
        <sz val="11"/>
        <rFont val="Arial Narrow"/>
        <family val="2"/>
      </rPr>
      <t>:</t>
    </r>
  </si>
  <si>
    <r>
      <t xml:space="preserve">NOTE:  </t>
    </r>
    <r>
      <rPr>
        <sz val="10.5"/>
        <rFont val="Arial Narrow"/>
        <family val="2"/>
      </rPr>
      <t xml:space="preserve"> This IWO must be regular on its face.  Under certain circumstances you must reject this IWO and return it to the sender (see IWO instructions </t>
    </r>
    <r>
      <rPr>
        <b/>
        <u/>
        <sz val="10.5"/>
        <rFont val="Arial Narrow"/>
        <family val="2"/>
      </rPr>
      <t>www.acf.hhs.gov/program/css/resource/income-withholding-for-support-instructions</t>
    </r>
    <r>
      <rPr>
        <sz val="10.5"/>
        <rFont val="Arial Narrow"/>
        <family val="2"/>
      </rPr>
      <t>).  If you receive this document from someone other than a state or tribal CSE agency or a Court, a copy of the underlying order must be attached.</t>
    </r>
  </si>
  <si>
    <t>If the employee/obligor works in a state or for a tribe that is differenct from the state or tribe that issued this order, a copy of this IWO must be provided to the employee/obligor.</t>
  </si>
  <si>
    <r>
      <t xml:space="preserve">Multiple IWOs:  </t>
    </r>
    <r>
      <rPr>
        <sz val="10.5"/>
        <rFont val="Arial Narrow"/>
        <family val="2"/>
      </rPr>
      <t>If there is more than one IWO against this employee/obligor and you are unable to fully honor all IWOs due to federal, state, or tribal withholding limits, you must honor all IWOs to the greatest extent possible, giving priority to current support before payment of any past-due support.  Follow the state or tribal law/procedure of the employee/obligor's principal place of employment to determine the appropriate allocation method.</t>
    </r>
  </si>
  <si>
    <t>No legal decision-making Order (1000), Children with Caretaker (2000), Sole legal decision-making (3000), Joint legal decision-making (4000)</t>
  </si>
  <si>
    <t xml:space="preserve"> Award joint legal decision-making to both parents per attached Parenting Plan.</t>
  </si>
  <si>
    <t>The minor child[ren] currently reside with Obligee.</t>
  </si>
  <si>
    <t>The minor children currently reside with Obligee.</t>
  </si>
  <si>
    <t>The minor child currently resides with Obligee.</t>
  </si>
  <si>
    <t>The minor child is in the care of a non-parent caretaker.</t>
  </si>
  <si>
    <t>The minor children are in the care of a non-parent caretaker.</t>
  </si>
  <si>
    <t>Cash Medical Support Order</t>
  </si>
  <si>
    <t xml:space="preserve">It is in the best interests for the parties minor children to award joint legal </t>
  </si>
  <si>
    <t>Legal  Decision - Making.</t>
  </si>
  <si>
    <t xml:space="preserve">There is no formal legal decision-making or parenting time order in this case, </t>
  </si>
  <si>
    <t xml:space="preserve">There is no legal decision-making or parenting time order for the minor </t>
  </si>
  <si>
    <t>children but the minor children currently reside with obligee.</t>
  </si>
  <si>
    <t>child but the minor child currently resides with obligee.</t>
  </si>
  <si>
    <t>child[ren] but the minor child[ren] currently reside[s] with obligee.</t>
  </si>
  <si>
    <t>There is no formal legal decision-making or parenting time order in this case,</t>
  </si>
  <si>
    <t xml:space="preserve">The minor child currently resides with a non-parent caretaker that is </t>
  </si>
  <si>
    <t>entitled to receive child support for the benefit of the child.</t>
  </si>
  <si>
    <t xml:space="preserve">The minor children currently reside with a non-parent caretaker that is </t>
  </si>
  <si>
    <t>entitled to receive child support for the benefit of the children.</t>
  </si>
  <si>
    <t>The minor children currently reside with a non-parent caretaker that is</t>
  </si>
  <si>
    <t xml:space="preserve"> entitled to receive child support for the benefit of the children.</t>
  </si>
  <si>
    <t xml:space="preserve">It is in the best interests of the parties minor child to award sole </t>
  </si>
  <si>
    <t xml:space="preserve">It is in the best interests of the parties minor children to award sole </t>
  </si>
  <si>
    <t>It is in the best interests of the parties minor child to award sole</t>
  </si>
  <si>
    <t xml:space="preserve">It is in the best interests for the parties minor child to award joint legal </t>
  </si>
  <si>
    <t xml:space="preserve">It is in the best interests of the parties minor child to award joint legal </t>
  </si>
  <si>
    <t>Fourth Line Loopkup Factor (Order) (+4)</t>
  </si>
  <si>
    <t xml:space="preserve">Father has legal decision-making authority for the child until further court </t>
  </si>
  <si>
    <t>order pursuant to A.R.S. § 25-803.</t>
  </si>
  <si>
    <t>but the minor child has resided with the natural father for the greater part for the last six months such that father has legal legal decision-making authority for the minor child pursuant to A.R.S. §25-803 until further court order.  Either parent may file a petition with the court for a formal legal decision-making or parenting time order with respect to the minor child.</t>
  </si>
  <si>
    <t>but the minor child has resided with the natural mother for the greater part for the last six months such that mother has legal legal decision-making authority for the minor child pursuant to A.R.S. §25-803 until further court order.  Either parent may file a petition with the court for a formal legal decision-making or parenting time order with respect to the minor child.</t>
  </si>
  <si>
    <t xml:space="preserve">Mother has legal decision-making authority for the child until further court </t>
  </si>
  <si>
    <t xml:space="preserve">Mother has legal decision-making authority for the children until further court </t>
  </si>
  <si>
    <t>but the minor children have resided with the natural mother for the greater part for the last six months such that mother has legal decision-making authority for the minor children pursuant to A.R.S. §25-803 until further court order.  Either parent may file a petition with the court for a formal legal decision-making or parenting time order with respect to the minor children.</t>
  </si>
  <si>
    <t>but the minor children have resided with the natural father for the greater part for the last six months such that father has legal decision-making authority for the minor children pursuant to A.R.S. §25-803 until further court order.  Either parent may file a petition with the court for a formal legal decision-making or parenting time order with respect to the minor children.</t>
  </si>
  <si>
    <t xml:space="preserve">Father has legal decision-making authority for the children until further court </t>
  </si>
  <si>
    <t>legal decision-making authority to mother in accordance with the Parenting Plan attached to the Judgment and incorporated herein by reference.</t>
  </si>
  <si>
    <t>in accordance with the Parenting Plan incorporated herein by reference.</t>
  </si>
  <si>
    <t xml:space="preserve">Mother is awarded sole legal decision-making authority for the minor child </t>
  </si>
  <si>
    <t xml:space="preserve">Mother is awarded sole legal decision-making authority for the minor children </t>
  </si>
  <si>
    <t xml:space="preserve"> legal decision-making authority to father in accordance with the Parenting Plan attached to the Judgment and incorporated herein by reference.</t>
  </si>
  <si>
    <t xml:space="preserve">Father is awarded sole legal decision-making authority  for the minor child </t>
  </si>
  <si>
    <t>legal decision-making authority to father in accordance with the Parenting Plan attached to the Judgment and incorporated herein by reference.</t>
  </si>
  <si>
    <t xml:space="preserve">Father is awarded sole legal decision-making authority  for the minor children </t>
  </si>
  <si>
    <t>decision-making authority for the child to both parents in accordance with the Parenting Plan attached to the Judgment and incorporated herein by reference.</t>
  </si>
  <si>
    <t>decision-making authority for the children to both parents in accordance with the Parenting Plan attached to the Judgment and incorporated herein by reference.</t>
  </si>
  <si>
    <t xml:space="preserve">Both parents are awarded joint legal legal decision-making authority for  </t>
  </si>
  <si>
    <t>the child in accordance with the Parenting Plan incorporated herein by reference.</t>
  </si>
  <si>
    <t xml:space="preserve">Both parents are awarded joint legal legal decision-making authority for </t>
  </si>
  <si>
    <t>the children in accordance with the Parenting Plan incorporated herein by reference.</t>
  </si>
  <si>
    <t>Legal Decision-Making:</t>
  </si>
  <si>
    <t>Revised: June 5, 2015</t>
  </si>
  <si>
    <t>Even though there are orders regarding medical insurance and the allocation of the right to claim a chld as a dependent for the purposes of federal taxes contained in this judgment, this is not binding on the IRS.  Under the Affordable Care Act, the parent who claims the child as a dependent on a federal tax return has the obligation to ensure that the child is covered by medical insurance and may be penalized by the IRS for failing to do so.</t>
  </si>
</sst>
</file>

<file path=xl/styles.xml><?xml version="1.0" encoding="utf-8"?>
<styleSheet xmlns="http://schemas.openxmlformats.org/spreadsheetml/2006/main">
  <numFmts count="35">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0"/>
    <numFmt numFmtId="166" formatCode="0.0000"/>
    <numFmt numFmtId="167" formatCode="\(0.00\)"/>
    <numFmt numFmtId="168" formatCode="mmmm\ d\,\ yyyy"/>
    <numFmt numFmtId="169" formatCode="mmmm\ d"/>
    <numFmt numFmtId="170" formatCode="mmmm\ d\,"/>
    <numFmt numFmtId="171" formatCode="mmmm\,\ yyyy"/>
    <numFmt numFmtId="172" formatCode="mmmm\,\ yyyy\."/>
    <numFmt numFmtId="173" formatCode="mmmm\ d\,\ yyyy\."/>
    <numFmt numFmtId="174" formatCode="mmmm\ d\,\ yyyy\,"/>
    <numFmt numFmtId="175" formatCode="&quot;$&quot;#,##0.00."/>
    <numFmt numFmtId="176" formatCode="#\ ?/2"/>
    <numFmt numFmtId="177" formatCode="m/d"/>
    <numFmt numFmtId="178" formatCode="000\-00\-0000"/>
    <numFmt numFmtId="179" formatCode="m\-d\-yy"/>
    <numFmt numFmtId="180" formatCode="mmmm\ &quot;1&quot;\,\ yyyy"/>
    <numFmt numFmtId="181" formatCode="[&lt;=9999999]###\-####;\(###\)\ ###\-####"/>
    <numFmt numFmtId="182" formatCode="."/>
    <numFmt numFmtId="183" formatCode="mmmm\ &quot;1&quot;\,\ yyyy\,"/>
    <numFmt numFmtId="184" formatCode="General_)"/>
    <numFmt numFmtId="185" formatCode="&quot;$&quot;\ \ #,##0.00;_(&quot;$&quot;* \(#,##0.00\);_(&quot;$&quot;* &quot;-&quot;??_);_(@_)"/>
    <numFmt numFmtId="186" formatCode="&quot;$&quot;\ \ #,##0.00_);\(&quot;$&quot;#,##0.00\)"/>
    <numFmt numFmtId="187" formatCode="&quot;$&quot;\ #,##0.00_);\(&quot;$&quot;#,##0.00\)"/>
    <numFmt numFmtId="188" formatCode="[$-409]mmmm\ d\,\ yyyy;@"/>
    <numFmt numFmtId="189" formatCode="&quot;$&quot;\ \ #,##0.00"/>
    <numFmt numFmtId="190" formatCode="mmmm"/>
    <numFmt numFmtId="191" formatCode="0.0\ %"/>
    <numFmt numFmtId="192" formatCode="0_)"/>
    <numFmt numFmtId="193" formatCode="0.00_)"/>
    <numFmt numFmtId="194" formatCode="&quot;$&quot;#,##0.00"/>
  </numFmts>
  <fonts count="77">
    <font>
      <sz val="10"/>
      <name val="Arial"/>
    </font>
    <font>
      <sz val="10"/>
      <name val="Arial"/>
      <family val="2"/>
    </font>
    <font>
      <b/>
      <sz val="10"/>
      <name val="Arial"/>
      <family val="2"/>
    </font>
    <font>
      <b/>
      <sz val="14"/>
      <name val="Arial"/>
      <family val="2"/>
    </font>
    <font>
      <sz val="10"/>
      <name val="Arial"/>
      <family val="2"/>
    </font>
    <font>
      <b/>
      <sz val="12"/>
      <name val="Arial"/>
      <family val="2"/>
    </font>
    <font>
      <sz val="8"/>
      <name val="Arial"/>
      <family val="2"/>
    </font>
    <font>
      <sz val="7"/>
      <name val="Arial"/>
      <family val="2"/>
    </font>
    <font>
      <sz val="9"/>
      <name val="Arial"/>
      <family val="2"/>
    </font>
    <font>
      <b/>
      <sz val="8"/>
      <name val="Arial"/>
      <family val="2"/>
    </font>
    <font>
      <b/>
      <u/>
      <sz val="10"/>
      <name val="Arial"/>
      <family val="2"/>
    </font>
    <font>
      <b/>
      <sz val="9"/>
      <name val="Arial"/>
      <family val="2"/>
    </font>
    <font>
      <b/>
      <sz val="10"/>
      <color indexed="9"/>
      <name val="Arial"/>
      <family val="2"/>
    </font>
    <font>
      <sz val="12"/>
      <name val="Arial"/>
      <family val="2"/>
    </font>
    <font>
      <sz val="10"/>
      <color indexed="9"/>
      <name val="Arial"/>
      <family val="2"/>
    </font>
    <font>
      <b/>
      <sz val="10"/>
      <color indexed="10"/>
      <name val="Arial"/>
      <family val="2"/>
    </font>
    <font>
      <sz val="10"/>
      <color indexed="10"/>
      <name val="Arial"/>
      <family val="2"/>
    </font>
    <font>
      <sz val="8.5"/>
      <name val="Arial"/>
      <family val="2"/>
    </font>
    <font>
      <sz val="9.5"/>
      <name val="Arial"/>
      <family val="2"/>
    </font>
    <font>
      <sz val="9"/>
      <color indexed="9"/>
      <name val="Arial"/>
      <family val="2"/>
    </font>
    <font>
      <b/>
      <sz val="11"/>
      <name val="Arial"/>
      <family val="2"/>
    </font>
    <font>
      <b/>
      <i/>
      <sz val="10"/>
      <name val="Arial"/>
      <family val="2"/>
    </font>
    <font>
      <i/>
      <sz val="10"/>
      <name val="Arial"/>
      <family val="2"/>
    </font>
    <font>
      <u/>
      <sz val="10"/>
      <name val="Arial"/>
      <family val="2"/>
    </font>
    <font>
      <sz val="6"/>
      <name val="Arial"/>
      <family val="2"/>
    </font>
    <font>
      <sz val="8"/>
      <color indexed="9"/>
      <name val="Arial"/>
      <family val="2"/>
    </font>
    <font>
      <sz val="14"/>
      <name val="Arial"/>
      <family val="2"/>
    </font>
    <font>
      <u/>
      <sz val="10"/>
      <color indexed="12"/>
      <name val="Arial"/>
      <family val="2"/>
    </font>
    <font>
      <i/>
      <sz val="9"/>
      <name val="Arial"/>
      <family val="2"/>
    </font>
    <font>
      <b/>
      <sz val="10"/>
      <color indexed="8"/>
      <name val="Arial"/>
      <family val="2"/>
    </font>
    <font>
      <sz val="11"/>
      <name val="Arial"/>
      <family val="2"/>
    </font>
    <font>
      <b/>
      <u/>
      <sz val="12"/>
      <name val="Arial"/>
      <family val="2"/>
    </font>
    <font>
      <b/>
      <u val="singleAccounting"/>
      <sz val="10"/>
      <name val="Arial"/>
      <family val="2"/>
    </font>
    <font>
      <u val="singleAccounting"/>
      <sz val="10"/>
      <name val="Arial"/>
      <family val="2"/>
    </font>
    <font>
      <b/>
      <sz val="11"/>
      <color indexed="9"/>
      <name val="Arial"/>
      <family val="2"/>
    </font>
    <font>
      <sz val="26"/>
      <color indexed="10"/>
      <name val="Arial"/>
      <family val="2"/>
    </font>
    <font>
      <b/>
      <sz val="12"/>
      <color indexed="10"/>
      <name val="Arial"/>
      <family val="2"/>
    </font>
    <font>
      <b/>
      <sz val="26"/>
      <color indexed="10"/>
      <name val="Arial"/>
      <family val="2"/>
    </font>
    <font>
      <sz val="10"/>
      <name val="Helv"/>
    </font>
    <font>
      <b/>
      <sz val="16"/>
      <name val="Agency FB"/>
      <family val="2"/>
    </font>
    <font>
      <b/>
      <sz val="11"/>
      <name val="Agency FB"/>
      <family val="2"/>
    </font>
    <font>
      <b/>
      <sz val="10"/>
      <name val="Agency FB"/>
      <family val="2"/>
    </font>
    <font>
      <b/>
      <sz val="14"/>
      <name val="Agency FB"/>
      <family val="2"/>
    </font>
    <font>
      <sz val="10"/>
      <color theme="0"/>
      <name val="Arial"/>
      <family val="2"/>
    </font>
    <font>
      <sz val="10"/>
      <color rgb="FFFF0000"/>
      <name val="Arial"/>
      <family val="2"/>
    </font>
    <font>
      <b/>
      <sz val="10"/>
      <color rgb="FFFF0000"/>
      <name val="Arial"/>
      <family val="2"/>
    </font>
    <font>
      <b/>
      <sz val="20"/>
      <color indexed="10"/>
      <name val="Arial"/>
      <family val="2"/>
    </font>
    <font>
      <sz val="20"/>
      <name val="Arial"/>
      <family val="2"/>
    </font>
    <font>
      <b/>
      <sz val="10"/>
      <color theme="0"/>
      <name val="Arial"/>
      <family val="2"/>
    </font>
    <font>
      <sz val="9"/>
      <color theme="1" tint="0.249977111117893"/>
      <name val="Arial"/>
      <family val="2"/>
    </font>
    <font>
      <b/>
      <sz val="8"/>
      <color theme="0"/>
      <name val="Arial"/>
      <family val="2"/>
    </font>
    <font>
      <b/>
      <sz val="10"/>
      <name val="Arial Narrow"/>
      <family val="2"/>
    </font>
    <font>
      <sz val="10"/>
      <name val="Arial Narrow"/>
      <family val="2"/>
    </font>
    <font>
      <sz val="9"/>
      <name val="Arial Narrow"/>
      <family val="2"/>
    </font>
    <font>
      <i/>
      <u/>
      <sz val="10"/>
      <name val="Arial"/>
      <family val="2"/>
    </font>
    <font>
      <b/>
      <u/>
      <sz val="10"/>
      <color indexed="12"/>
      <name val="Arial"/>
      <family val="2"/>
    </font>
    <font>
      <i/>
      <sz val="11"/>
      <name val="Arial"/>
      <family val="2"/>
    </font>
    <font>
      <sz val="7"/>
      <color theme="0"/>
      <name val="Arial"/>
      <family val="2"/>
    </font>
    <font>
      <sz val="10"/>
      <name val="Courier"/>
      <family val="3"/>
    </font>
    <font>
      <sz val="10"/>
      <color rgb="FF000000"/>
      <name val="Times New Roman"/>
      <family val="1"/>
    </font>
    <font>
      <b/>
      <sz val="14"/>
      <name val="Helv"/>
    </font>
    <font>
      <b/>
      <sz val="12"/>
      <name val="Agency FB"/>
      <family val="2"/>
    </font>
    <font>
      <b/>
      <sz val="12"/>
      <name val="Arial Narrow"/>
      <family val="2"/>
    </font>
    <font>
      <sz val="12"/>
      <name val="Arial Narrow"/>
      <family val="2"/>
    </font>
    <font>
      <b/>
      <sz val="11"/>
      <name val="Arial Narrow"/>
      <family val="2"/>
    </font>
    <font>
      <sz val="11"/>
      <name val="Arial Narrow"/>
      <family val="2"/>
    </font>
    <font>
      <sz val="10.5"/>
      <name val="Arial Narrow"/>
      <family val="2"/>
    </font>
    <font>
      <b/>
      <i/>
      <sz val="10.5"/>
      <name val="Arial Narrow"/>
      <family val="2"/>
    </font>
    <font>
      <b/>
      <sz val="10.5"/>
      <name val="Arial Narrow"/>
      <family val="2"/>
    </font>
    <font>
      <b/>
      <u/>
      <sz val="10.5"/>
      <name val="Arial Narrow"/>
      <family val="2"/>
    </font>
    <font>
      <b/>
      <sz val="10.5"/>
      <color rgb="FFFF0000"/>
      <name val="Arial Narrow"/>
      <family val="2"/>
    </font>
    <font>
      <u/>
      <sz val="10.5"/>
      <color indexed="12"/>
      <name val="Arial Narrow"/>
      <family val="2"/>
    </font>
    <font>
      <u/>
      <sz val="10.5"/>
      <name val="Arial Narrow"/>
      <family val="2"/>
    </font>
    <font>
      <i/>
      <sz val="10.5"/>
      <name val="Arial Narrow"/>
      <family val="2"/>
    </font>
    <font>
      <b/>
      <sz val="9"/>
      <name val="Arial Narrow"/>
      <family val="2"/>
    </font>
    <font>
      <b/>
      <u/>
      <sz val="11"/>
      <name val="Arial Narrow"/>
      <family val="2"/>
    </font>
    <font>
      <b/>
      <u/>
      <sz val="11"/>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patternFill>
    </fill>
    <fill>
      <patternFill patternType="solid">
        <fgColor rgb="FF99CCFF"/>
        <bgColor indexed="64"/>
      </patternFill>
    </fill>
    <fill>
      <patternFill patternType="solid">
        <fgColor theme="0"/>
        <bgColor indexed="64"/>
      </patternFill>
    </fill>
    <fill>
      <patternFill patternType="solid">
        <fgColor rgb="FFFFFF99"/>
        <bgColor indexed="64"/>
      </patternFill>
    </fill>
    <fill>
      <patternFill patternType="solid">
        <fgColor rgb="FF99FF99"/>
        <bgColor indexed="64"/>
      </patternFill>
    </fill>
    <fill>
      <patternFill patternType="solid">
        <fgColor theme="0" tint="-0.24994659260841701"/>
        <bgColor indexed="64"/>
      </patternFill>
    </fill>
    <fill>
      <patternFill patternType="solid">
        <fgColor rgb="FFFFFF00"/>
        <bgColor indexed="64"/>
      </patternFill>
    </fill>
  </fills>
  <borders count="70">
    <border>
      <left/>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medium">
        <color indexed="64"/>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style="hair">
        <color auto="1"/>
      </right>
      <top style="thin">
        <color indexed="64"/>
      </top>
      <bottom style="hair">
        <color indexed="64"/>
      </bottom>
      <diagonal/>
    </border>
    <border>
      <left style="thin">
        <color indexed="64"/>
      </left>
      <right style="hair">
        <color auto="1"/>
      </right>
      <top style="hair">
        <color indexed="64"/>
      </top>
      <bottom style="hair">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auto="1"/>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184" fontId="38" fillId="0" borderId="0"/>
    <xf numFmtId="0" fontId="1" fillId="0" borderId="0"/>
    <xf numFmtId="9" fontId="1" fillId="0" borderId="0" applyFont="0" applyFill="0" applyBorder="0" applyAlignment="0" applyProtection="0"/>
    <xf numFmtId="0" fontId="1" fillId="0" borderId="0"/>
    <xf numFmtId="193" fontId="58" fillId="0" borderId="0"/>
    <xf numFmtId="184" fontId="38" fillId="0" borderId="0"/>
    <xf numFmtId="0" fontId="1" fillId="0" borderId="0"/>
    <xf numFmtId="0" fontId="59" fillId="0" borderId="0"/>
  </cellStyleXfs>
  <cellXfs count="1949">
    <xf numFmtId="0" fontId="0" fillId="0" borderId="0" xfId="0"/>
    <xf numFmtId="0" fontId="2" fillId="0" borderId="0" xfId="0" applyFont="1" applyAlignment="1">
      <alignment horizontal="center" vertical="center"/>
    </xf>
    <xf numFmtId="165" fontId="2" fillId="0" borderId="1" xfId="0" applyNumberFormat="1"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4" fillId="0" borderId="0" xfId="0" applyFont="1" applyAlignment="1">
      <alignment horizontal="center" vertical="center" wrapText="1"/>
    </xf>
    <xf numFmtId="165" fontId="4" fillId="0" borderId="3"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165" fontId="4" fillId="0" borderId="1" xfId="0" applyNumberFormat="1" applyFont="1" applyBorder="1" applyAlignment="1">
      <alignment horizontal="center"/>
    </xf>
    <xf numFmtId="165" fontId="4" fillId="0" borderId="0" xfId="0" applyNumberFormat="1" applyFont="1" applyAlignment="1">
      <alignment horizontal="center"/>
    </xf>
    <xf numFmtId="0" fontId="4" fillId="0" borderId="0" xfId="0" applyFont="1" applyFill="1" applyProtection="1">
      <protection hidden="1"/>
    </xf>
    <xf numFmtId="0" fontId="6" fillId="0" borderId="0" xfId="0" applyFont="1" applyFill="1" applyProtection="1">
      <protection hidden="1"/>
    </xf>
    <xf numFmtId="44" fontId="4" fillId="0" borderId="0" xfId="0" applyNumberFormat="1" applyFont="1" applyFill="1" applyProtection="1">
      <protection hidden="1"/>
    </xf>
    <xf numFmtId="0" fontId="4" fillId="2" borderId="0" xfId="0" applyFont="1" applyFill="1" applyAlignment="1" applyProtection="1">
      <protection hidden="1"/>
    </xf>
    <xf numFmtId="0" fontId="0" fillId="2" borderId="0" xfId="0" applyFill="1" applyAlignment="1" applyProtection="1">
      <alignment horizontal="right"/>
      <protection hidden="1"/>
    </xf>
    <xf numFmtId="0" fontId="4" fillId="2" borderId="0" xfId="0" applyFont="1" applyFill="1" applyProtection="1">
      <protection hidden="1"/>
    </xf>
    <xf numFmtId="0" fontId="8" fillId="2" borderId="0" xfId="0" applyFont="1" applyFill="1" applyAlignment="1" applyProtection="1">
      <alignment horizontal="left"/>
      <protection hidden="1"/>
    </xf>
    <xf numFmtId="0" fontId="0" fillId="2" borderId="0" xfId="0" applyFill="1" applyAlignment="1"/>
    <xf numFmtId="0" fontId="4" fillId="2" borderId="0" xfId="0" applyFont="1" applyFill="1" applyAlignment="1" applyProtection="1">
      <alignment horizontal="left"/>
      <protection hidden="1"/>
    </xf>
    <xf numFmtId="0" fontId="0" fillId="2" borderId="0" xfId="0" applyFill="1" applyAlignment="1" applyProtection="1">
      <protection hidden="1"/>
    </xf>
    <xf numFmtId="0" fontId="0" fillId="0" borderId="0" xfId="0" applyAlignment="1"/>
    <xf numFmtId="0" fontId="0" fillId="0" borderId="0" xfId="0" applyAlignment="1" applyProtection="1">
      <alignment horizontal="center"/>
      <protection hidden="1"/>
    </xf>
    <xf numFmtId="0" fontId="5" fillId="0" borderId="0" xfId="0" applyFont="1" applyAlignment="1" applyProtection="1">
      <alignment horizontal="center"/>
      <protection hidden="1"/>
    </xf>
    <xf numFmtId="0" fontId="2" fillId="0" borderId="0" xfId="0" applyFont="1" applyAlignment="1" applyProtection="1">
      <alignment horizontal="center"/>
      <protection hidden="1"/>
    </xf>
    <xf numFmtId="0" fontId="2" fillId="0" borderId="6" xfId="0" applyFont="1" applyBorder="1" applyAlignment="1" applyProtection="1">
      <alignment horizontal="center"/>
      <protection hidden="1"/>
    </xf>
    <xf numFmtId="0" fontId="2" fillId="0" borderId="7" xfId="0" applyFont="1" applyBorder="1" applyAlignment="1" applyProtection="1">
      <alignment horizontal="center"/>
      <protection hidden="1"/>
    </xf>
    <xf numFmtId="169" fontId="4" fillId="0" borderId="8" xfId="0" applyNumberFormat="1" applyFont="1" applyBorder="1" applyAlignment="1" applyProtection="1">
      <alignment horizontal="left"/>
      <protection hidden="1"/>
    </xf>
    <xf numFmtId="169" fontId="4" fillId="0" borderId="9" xfId="0" applyNumberFormat="1" applyFont="1" applyBorder="1" applyAlignment="1" applyProtection="1">
      <alignment horizontal="left"/>
      <protection hidden="1"/>
    </xf>
    <xf numFmtId="169" fontId="4" fillId="0" borderId="10" xfId="0" applyNumberFormat="1" applyFont="1" applyBorder="1" applyAlignment="1" applyProtection="1">
      <alignment horizontal="left"/>
      <protection hidden="1"/>
    </xf>
    <xf numFmtId="169" fontId="4" fillId="0" borderId="11" xfId="0" applyNumberFormat="1" applyFont="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Border="1" applyAlignment="1" applyProtection="1">
      <protection hidden="1"/>
    </xf>
    <xf numFmtId="0" fontId="0" fillId="0" borderId="0" xfId="0" applyAlignment="1" applyProtection="1">
      <alignment horizontal="left"/>
      <protection hidden="1"/>
    </xf>
    <xf numFmtId="0" fontId="2" fillId="0" borderId="0" xfId="0" applyFont="1" applyBorder="1" applyAlignment="1" applyProtection="1">
      <alignment horizontal="left"/>
      <protection hidden="1"/>
    </xf>
    <xf numFmtId="0" fontId="0" fillId="0" borderId="1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0" xfId="0" applyBorder="1" applyAlignment="1" applyProtection="1">
      <alignment horizontal="center"/>
      <protection hidden="1"/>
    </xf>
    <xf numFmtId="0" fontId="0" fillId="0" borderId="6" xfId="0" applyBorder="1" applyAlignment="1" applyProtection="1">
      <alignment horizontal="center"/>
      <protection hidden="1"/>
    </xf>
    <xf numFmtId="14" fontId="0" fillId="0" borderId="0" xfId="0" applyNumberFormat="1" applyAlignment="1" applyProtection="1">
      <alignment horizontal="center"/>
      <protection hidden="1"/>
    </xf>
    <xf numFmtId="16" fontId="0" fillId="0" borderId="0" xfId="0" applyNumberFormat="1" applyAlignment="1" applyProtection="1">
      <alignment horizontal="center"/>
      <protection hidden="1"/>
    </xf>
    <xf numFmtId="0" fontId="0" fillId="0" borderId="10" xfId="0" applyBorder="1" applyAlignment="1" applyProtection="1">
      <alignment horizontal="center"/>
      <protection hidden="1"/>
    </xf>
    <xf numFmtId="0" fontId="4" fillId="0" borderId="8"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8" xfId="0" applyBorder="1" applyAlignment="1">
      <alignment horizontal="center"/>
    </xf>
    <xf numFmtId="0" fontId="0" fillId="0" borderId="8" xfId="0" applyBorder="1" applyAlignment="1">
      <alignment horizontal="center" wrapText="1"/>
    </xf>
    <xf numFmtId="1" fontId="0" fillId="0" borderId="18" xfId="0" applyNumberFormat="1" applyBorder="1" applyAlignment="1" applyProtection="1">
      <alignment horizontal="center"/>
      <protection hidden="1"/>
    </xf>
    <xf numFmtId="169" fontId="0" fillId="0" borderId="19" xfId="0" applyNumberFormat="1" applyBorder="1" applyAlignment="1" applyProtection="1">
      <alignment horizontal="center"/>
      <protection hidden="1"/>
    </xf>
    <xf numFmtId="0" fontId="0" fillId="0" borderId="20" xfId="0" applyBorder="1" applyAlignment="1" applyProtection="1">
      <alignment horizontal="center"/>
      <protection hidden="1"/>
    </xf>
    <xf numFmtId="170" fontId="0" fillId="0" borderId="14" xfId="0" applyNumberFormat="1" applyBorder="1" applyAlignment="1" applyProtection="1">
      <alignment horizontal="center"/>
      <protection hidden="1"/>
    </xf>
    <xf numFmtId="170" fontId="0" fillId="0" borderId="17" xfId="0" applyNumberFormat="1" applyBorder="1" applyAlignment="1" applyProtection="1">
      <alignment horizontal="center"/>
      <protection hidden="1"/>
    </xf>
    <xf numFmtId="170" fontId="0" fillId="0" borderId="21" xfId="0" applyNumberFormat="1" applyBorder="1" applyAlignment="1" applyProtection="1">
      <alignment horizontal="center"/>
      <protection hidden="1"/>
    </xf>
    <xf numFmtId="170" fontId="0" fillId="0" borderId="22" xfId="0" applyNumberFormat="1" applyBorder="1" applyAlignment="1" applyProtection="1">
      <alignment horizontal="center"/>
      <protection hidden="1"/>
    </xf>
    <xf numFmtId="170" fontId="0" fillId="0" borderId="0" xfId="0" applyNumberFormat="1" applyAlignment="1" applyProtection="1">
      <alignment horizontal="center"/>
      <protection hidden="1"/>
    </xf>
    <xf numFmtId="1" fontId="4" fillId="0" borderId="20" xfId="0" applyNumberFormat="1" applyFont="1" applyBorder="1" applyAlignment="1" applyProtection="1">
      <alignment horizontal="left"/>
      <protection hidden="1"/>
    </xf>
    <xf numFmtId="170" fontId="4" fillId="0" borderId="23" xfId="0" applyNumberFormat="1" applyFont="1" applyBorder="1" applyAlignment="1">
      <alignment horizontal="right"/>
    </xf>
    <xf numFmtId="170"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170"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25" xfId="0" applyFont="1" applyBorder="1" applyAlignment="1" applyProtection="1">
      <alignment horizontal="center"/>
      <protection hidden="1"/>
    </xf>
    <xf numFmtId="0" fontId="8" fillId="2" borderId="0" xfId="0" applyFont="1" applyFill="1" applyAlignment="1" applyProtection="1">
      <alignment horizontal="right"/>
      <protection hidden="1"/>
    </xf>
    <xf numFmtId="0" fontId="0" fillId="2" borderId="0" xfId="0" applyFill="1" applyProtection="1">
      <protection hidden="1"/>
    </xf>
    <xf numFmtId="0" fontId="0" fillId="2" borderId="0" xfId="0" applyFill="1" applyAlignment="1" applyProtection="1">
      <alignment horizontal="left"/>
      <protection hidden="1"/>
    </xf>
    <xf numFmtId="0" fontId="0" fillId="2" borderId="0" xfId="0" applyFill="1" applyBorder="1" applyAlignment="1" applyProtection="1">
      <alignment horizontal="left"/>
      <protection hidden="1"/>
    </xf>
    <xf numFmtId="0" fontId="4" fillId="0" borderId="0" xfId="0" applyFont="1" applyFill="1" applyBorder="1"/>
    <xf numFmtId="0" fontId="8" fillId="2" borderId="0" xfId="0" applyFont="1" applyFill="1" applyBorder="1" applyAlignment="1" applyProtection="1">
      <alignment horizontal="left"/>
      <protection hidden="1"/>
    </xf>
    <xf numFmtId="0" fontId="0" fillId="2" borderId="0" xfId="0" applyFill="1"/>
    <xf numFmtId="0" fontId="5" fillId="2" borderId="0" xfId="0" applyFont="1" applyFill="1" applyAlignment="1" applyProtection="1">
      <alignment horizontal="center" wrapText="1"/>
      <protection hidden="1"/>
    </xf>
    <xf numFmtId="0" fontId="5" fillId="2" borderId="0" xfId="0" applyFont="1" applyFill="1" applyAlignment="1" applyProtection="1">
      <alignment horizontal="center" vertical="center" wrapText="1"/>
      <protection hidden="1"/>
    </xf>
    <xf numFmtId="0" fontId="0" fillId="0" borderId="0" xfId="0" applyFill="1"/>
    <xf numFmtId="43" fontId="0" fillId="0" borderId="0" xfId="0" applyNumberFormat="1" applyFill="1"/>
    <xf numFmtId="0" fontId="0" fillId="2" borderId="0" xfId="0" applyFill="1" applyAlignment="1" applyProtection="1">
      <alignment horizontal="center" wrapText="1"/>
      <protection hidden="1"/>
    </xf>
    <xf numFmtId="49" fontId="4" fillId="2" borderId="0" xfId="0" applyNumberFormat="1" applyFont="1" applyFill="1" applyAlignment="1" applyProtection="1">
      <alignment horizontal="center"/>
      <protection hidden="1"/>
    </xf>
    <xf numFmtId="0" fontId="20" fillId="2" borderId="0" xfId="0" applyFont="1" applyFill="1" applyBorder="1" applyAlignment="1" applyProtection="1">
      <alignment horizontal="center"/>
      <protection hidden="1"/>
    </xf>
    <xf numFmtId="0" fontId="0" fillId="2" borderId="0" xfId="0" applyFill="1" applyAlignment="1" applyProtection="1">
      <alignment wrapText="1"/>
      <protection hidden="1"/>
    </xf>
    <xf numFmtId="44" fontId="0" fillId="2" borderId="0" xfId="2" applyFont="1" applyFill="1" applyProtection="1">
      <protection hidden="1"/>
    </xf>
    <xf numFmtId="0" fontId="4" fillId="2" borderId="0" xfId="0" applyFont="1" applyFill="1" applyAlignment="1" applyProtection="1">
      <alignment vertical="top" wrapText="1"/>
      <protection hidden="1"/>
    </xf>
    <xf numFmtId="0" fontId="0" fillId="2" borderId="0" xfId="0" applyFill="1" applyAlignment="1">
      <alignment vertical="top" wrapText="1"/>
    </xf>
    <xf numFmtId="0" fontId="2" fillId="2" borderId="0" xfId="0" applyFont="1" applyFill="1" applyAlignment="1" applyProtection="1">
      <alignment vertical="top" wrapText="1"/>
      <protection hidden="1"/>
    </xf>
    <xf numFmtId="0" fontId="4" fillId="2" borderId="5" xfId="0" applyFont="1" applyFill="1" applyBorder="1" applyProtection="1">
      <protection hidden="1"/>
    </xf>
    <xf numFmtId="0" fontId="0" fillId="2" borderId="0" xfId="0" applyFill="1" applyAlignment="1">
      <alignment horizontal="center" wrapText="1"/>
    </xf>
    <xf numFmtId="0" fontId="4" fillId="2" borderId="0" xfId="0" applyFont="1" applyFill="1" applyBorder="1" applyAlignment="1">
      <alignment horizontal="left"/>
    </xf>
    <xf numFmtId="0" fontId="4" fillId="2" borderId="0" xfId="0" applyFont="1" applyFill="1" applyAlignment="1" applyProtection="1">
      <alignment horizontal="left" vertical="center" wrapText="1"/>
      <protection hidden="1"/>
    </xf>
    <xf numFmtId="0" fontId="0" fillId="2" borderId="0" xfId="0" applyFill="1" applyAlignment="1" applyProtection="1">
      <alignment horizontal="center"/>
      <protection hidden="1"/>
    </xf>
    <xf numFmtId="49" fontId="0" fillId="0" borderId="0" xfId="0" applyNumberFormat="1"/>
    <xf numFmtId="0" fontId="0" fillId="0" borderId="0" xfId="0" applyAlignment="1">
      <alignment vertical="top"/>
    </xf>
    <xf numFmtId="171" fontId="2" fillId="2" borderId="0" xfId="0" applyNumberFormat="1" applyFont="1" applyFill="1" applyBorder="1" applyAlignment="1" applyProtection="1">
      <alignment horizontal="left"/>
      <protection hidden="1"/>
    </xf>
    <xf numFmtId="0" fontId="4" fillId="2" borderId="0" xfId="0" applyFont="1" applyFill="1" applyBorder="1" applyAlignment="1" applyProtection="1">
      <alignment wrapText="1"/>
      <protection hidden="1"/>
    </xf>
    <xf numFmtId="0" fontId="0" fillId="0" borderId="0" xfId="0" applyAlignment="1">
      <alignment horizontal="center"/>
    </xf>
    <xf numFmtId="0" fontId="0" fillId="2" borderId="0" xfId="0" applyFill="1" applyBorder="1" applyAlignment="1">
      <alignment wrapText="1"/>
    </xf>
    <xf numFmtId="1" fontId="0" fillId="0" borderId="0" xfId="0" applyNumberFormat="1" applyAlignment="1">
      <alignment horizontal="center"/>
    </xf>
    <xf numFmtId="0" fontId="0" fillId="0" borderId="26" xfId="0" applyBorder="1" applyAlignment="1">
      <alignment horizontal="center"/>
    </xf>
    <xf numFmtId="0" fontId="5" fillId="0" borderId="0" xfId="0" applyFont="1" applyAlignment="1">
      <alignment horizontal="center" wrapText="1"/>
    </xf>
    <xf numFmtId="49" fontId="0" fillId="0" borderId="0" xfId="0" applyNumberFormat="1" applyFill="1"/>
    <xf numFmtId="0" fontId="0" fillId="2" borderId="0" xfId="0" applyFill="1" applyAlignment="1" applyProtection="1">
      <alignment vertical="top" wrapText="1"/>
      <protection hidden="1"/>
    </xf>
    <xf numFmtId="1" fontId="2" fillId="2" borderId="5" xfId="0" applyNumberFormat="1" applyFont="1" applyFill="1" applyBorder="1" applyAlignment="1" applyProtection="1">
      <alignment horizontal="left" wrapText="1"/>
      <protection hidden="1"/>
    </xf>
    <xf numFmtId="0" fontId="4" fillId="2" borderId="0" xfId="0" applyFont="1" applyFill="1" applyAlignment="1" applyProtection="1">
      <alignment wrapText="1"/>
      <protection hidden="1"/>
    </xf>
    <xf numFmtId="0" fontId="0" fillId="0" borderId="0" xfId="0" applyAlignment="1">
      <alignment wrapText="1"/>
    </xf>
    <xf numFmtId="0" fontId="0" fillId="0" borderId="0" xfId="0" applyBorder="1" applyAlignment="1" applyProtection="1">
      <alignment horizontal="center" wrapText="1"/>
    </xf>
    <xf numFmtId="1" fontId="2" fillId="2" borderId="26" xfId="0" applyNumberFormat="1" applyFont="1" applyFill="1" applyBorder="1" applyAlignment="1" applyProtection="1">
      <alignment horizontal="center"/>
      <protection hidden="1"/>
    </xf>
    <xf numFmtId="14" fontId="0" fillId="2" borderId="26" xfId="0" applyNumberFormat="1" applyFill="1" applyBorder="1" applyAlignment="1" applyProtection="1">
      <alignment horizontal="center" vertical="top"/>
      <protection hidden="1"/>
    </xf>
    <xf numFmtId="0" fontId="0" fillId="2" borderId="26" xfId="0" applyNumberFormat="1" applyFill="1" applyBorder="1" applyAlignment="1" applyProtection="1">
      <alignment horizontal="center" vertical="center"/>
      <protection hidden="1"/>
    </xf>
    <xf numFmtId="0" fontId="0" fillId="2" borderId="0" xfId="0" applyFill="1" applyAlignment="1" applyProtection="1">
      <alignment vertical="top"/>
      <protection hidden="1"/>
    </xf>
    <xf numFmtId="14" fontId="0" fillId="2" borderId="0" xfId="0" applyNumberFormat="1" applyFill="1" applyBorder="1" applyAlignment="1" applyProtection="1">
      <alignment horizontal="center" vertical="top"/>
      <protection hidden="1"/>
    </xf>
    <xf numFmtId="0" fontId="0" fillId="2" borderId="0" xfId="0" applyNumberFormat="1" applyFill="1" applyBorder="1" applyAlignment="1" applyProtection="1">
      <alignment horizontal="center" vertical="center"/>
      <protection hidden="1"/>
    </xf>
    <xf numFmtId="1" fontId="2" fillId="2" borderId="28" xfId="0" applyNumberFormat="1" applyFont="1" applyFill="1" applyBorder="1" applyAlignment="1" applyProtection="1">
      <alignment horizontal="center" vertical="center"/>
      <protection hidden="1"/>
    </xf>
    <xf numFmtId="164" fontId="0" fillId="2" borderId="28" xfId="0" applyNumberFormat="1" applyFill="1" applyBorder="1" applyAlignment="1" applyProtection="1">
      <alignment horizontal="center" vertical="top"/>
      <protection hidden="1"/>
    </xf>
    <xf numFmtId="0" fontId="0" fillId="0" borderId="5" xfId="0" applyBorder="1" applyAlignment="1" applyProtection="1">
      <alignment horizontal="center" wrapText="1"/>
    </xf>
    <xf numFmtId="166" fontId="0" fillId="0" borderId="5" xfId="0" applyNumberFormat="1" applyBorder="1" applyAlignment="1" applyProtection="1">
      <alignment horizontal="center" wrapText="1"/>
    </xf>
    <xf numFmtId="12" fontId="0" fillId="0" borderId="5" xfId="0" applyNumberFormat="1" applyBorder="1" applyAlignment="1" applyProtection="1">
      <alignment horizontal="center"/>
    </xf>
    <xf numFmtId="12" fontId="2" fillId="0" borderId="5" xfId="0" applyNumberFormat="1" applyFont="1" applyBorder="1" applyAlignment="1" applyProtection="1">
      <alignment horizontal="center" vertical="center"/>
    </xf>
    <xf numFmtId="12" fontId="0" fillId="0" borderId="5" xfId="0" applyNumberFormat="1" applyBorder="1" applyAlignment="1" applyProtection="1">
      <alignment horizontal="center" wrapText="1"/>
    </xf>
    <xf numFmtId="1" fontId="0" fillId="0" borderId="5" xfId="0" applyNumberFormat="1" applyBorder="1" applyAlignment="1" applyProtection="1">
      <alignment horizontal="center" wrapText="1"/>
    </xf>
    <xf numFmtId="0" fontId="0" fillId="0" borderId="27" xfId="0" applyBorder="1" applyAlignment="1" applyProtection="1">
      <alignment horizontal="center" wrapText="1"/>
    </xf>
    <xf numFmtId="166" fontId="0" fillId="0" borderId="27" xfId="0" applyNumberFormat="1" applyBorder="1" applyAlignment="1" applyProtection="1">
      <alignment horizontal="center"/>
    </xf>
    <xf numFmtId="12" fontId="2" fillId="0" borderId="27" xfId="0" applyNumberFormat="1" applyFont="1" applyBorder="1" applyAlignment="1" applyProtection="1">
      <alignment horizontal="center"/>
    </xf>
    <xf numFmtId="166" fontId="4" fillId="0" borderId="27" xfId="0" applyNumberFormat="1" applyFont="1" applyBorder="1" applyAlignment="1" applyProtection="1">
      <alignment horizontal="center" vertical="center"/>
    </xf>
    <xf numFmtId="166" fontId="0" fillId="0" borderId="27" xfId="0" applyNumberFormat="1" applyBorder="1" applyAlignment="1" applyProtection="1">
      <alignment horizontal="center" wrapText="1"/>
    </xf>
    <xf numFmtId="0" fontId="0" fillId="0" borderId="0" xfId="0" applyAlignment="1" applyProtection="1">
      <alignment horizontal="center" wrapText="1"/>
    </xf>
    <xf numFmtId="1" fontId="0" fillId="0" borderId="0" xfId="0" applyNumberFormat="1" applyAlignment="1" applyProtection="1">
      <alignment horizontal="center" wrapText="1"/>
    </xf>
    <xf numFmtId="0" fontId="0" fillId="0" borderId="0" xfId="0" applyAlignment="1" applyProtection="1">
      <alignment horizontal="center"/>
    </xf>
    <xf numFmtId="166" fontId="0" fillId="0" borderId="0" xfId="0" applyNumberFormat="1" applyBorder="1" applyAlignment="1" applyProtection="1">
      <alignment horizontal="center"/>
    </xf>
    <xf numFmtId="12" fontId="2" fillId="0" borderId="0" xfId="0" applyNumberFormat="1" applyFont="1" applyBorder="1" applyAlignment="1" applyProtection="1">
      <alignment horizontal="center"/>
    </xf>
    <xf numFmtId="166" fontId="4" fillId="0" borderId="0" xfId="0" applyNumberFormat="1" applyFont="1" applyBorder="1" applyAlignment="1" applyProtection="1">
      <alignment horizontal="center" vertical="center"/>
    </xf>
    <xf numFmtId="166" fontId="0" fillId="0" borderId="0" xfId="0" applyNumberFormat="1" applyBorder="1" applyAlignment="1" applyProtection="1">
      <alignment horizontal="center" wrapText="1"/>
    </xf>
    <xf numFmtId="166" fontId="0" fillId="0" borderId="0" xfId="0" applyNumberFormat="1" applyAlignment="1" applyProtection="1">
      <alignment horizontal="center" vertical="center"/>
    </xf>
    <xf numFmtId="166" fontId="0" fillId="0" borderId="0" xfId="0" applyNumberFormat="1" applyBorder="1" applyAlignment="1" applyProtection="1">
      <alignment horizontal="center" vertical="center"/>
    </xf>
    <xf numFmtId="1" fontId="0" fillId="0" borderId="0" xfId="0" applyNumberFormat="1" applyBorder="1" applyAlignment="1" applyProtection="1">
      <alignment horizontal="center" wrapText="1"/>
    </xf>
    <xf numFmtId="0" fontId="0" fillId="0" borderId="0" xfId="0" applyBorder="1" applyAlignment="1" applyProtection="1">
      <alignment horizontal="center"/>
    </xf>
    <xf numFmtId="12" fontId="0" fillId="0" borderId="27" xfId="0" applyNumberFormat="1" applyBorder="1" applyAlignment="1" applyProtection="1">
      <alignment horizontal="center"/>
    </xf>
    <xf numFmtId="1" fontId="0" fillId="0" borderId="27" xfId="0" applyNumberFormat="1" applyBorder="1" applyAlignment="1" applyProtection="1">
      <alignment horizontal="center" wrapText="1"/>
    </xf>
    <xf numFmtId="0" fontId="0" fillId="0" borderId="27" xfId="0" applyBorder="1" applyAlignment="1" applyProtection="1">
      <alignment horizontal="center"/>
    </xf>
    <xf numFmtId="12" fontId="0" fillId="0" borderId="0" xfId="0" applyNumberFormat="1" applyAlignment="1" applyProtection="1">
      <alignment horizontal="center"/>
    </xf>
    <xf numFmtId="166" fontId="0" fillId="0" borderId="0" xfId="0" applyNumberFormat="1" applyAlignment="1" applyProtection="1">
      <alignment horizontal="center"/>
    </xf>
    <xf numFmtId="12" fontId="2" fillId="0" borderId="0" xfId="0" applyNumberFormat="1" applyFont="1" applyAlignment="1" applyProtection="1">
      <alignment horizontal="center"/>
    </xf>
    <xf numFmtId="1" fontId="0" fillId="0" borderId="0" xfId="0" applyNumberFormat="1" applyAlignment="1" applyProtection="1">
      <alignment horizontal="center"/>
    </xf>
    <xf numFmtId="0" fontId="0" fillId="0" borderId="5" xfId="0" applyBorder="1" applyAlignment="1" applyProtection="1">
      <alignment horizontal="center"/>
    </xf>
    <xf numFmtId="166" fontId="0" fillId="0" borderId="5" xfId="0" applyNumberFormat="1" applyBorder="1" applyAlignment="1" applyProtection="1">
      <alignment horizontal="center"/>
    </xf>
    <xf numFmtId="166" fontId="0" fillId="0" borderId="5" xfId="0" applyNumberFormat="1" applyBorder="1" applyAlignment="1" applyProtection="1">
      <alignment horizontal="center" vertical="center"/>
    </xf>
    <xf numFmtId="1" fontId="0" fillId="0" borderId="5" xfId="0" applyNumberFormat="1" applyBorder="1" applyAlignment="1" applyProtection="1">
      <alignment horizontal="center"/>
    </xf>
    <xf numFmtId="12" fontId="0" fillId="0" borderId="0" xfId="0" applyNumberFormat="1" applyBorder="1" applyAlignment="1" applyProtection="1">
      <alignment horizontal="center"/>
    </xf>
    <xf numFmtId="1" fontId="0" fillId="0" borderId="0" xfId="0" applyNumberFormat="1" applyBorder="1" applyAlignment="1" applyProtection="1">
      <alignment horizontal="center"/>
    </xf>
    <xf numFmtId="12" fontId="0" fillId="0" borderId="0" xfId="0" applyNumberFormat="1" applyAlignment="1" applyProtection="1">
      <alignment horizontal="center" vertical="center"/>
    </xf>
    <xf numFmtId="0" fontId="0" fillId="0" borderId="0" xfId="0" applyAlignment="1" applyProtection="1">
      <alignment horizontal="center" vertical="center"/>
    </xf>
    <xf numFmtId="166" fontId="6" fillId="0" borderId="27" xfId="0" applyNumberFormat="1" applyFont="1" applyBorder="1" applyAlignment="1" applyProtection="1">
      <alignment horizontal="center" vertical="center"/>
    </xf>
    <xf numFmtId="166" fontId="0" fillId="0" borderId="27" xfId="0" applyNumberFormat="1" applyBorder="1" applyAlignment="1" applyProtection="1">
      <alignment horizontal="center" vertical="center"/>
    </xf>
    <xf numFmtId="0" fontId="0" fillId="0" borderId="0" xfId="0" applyProtection="1"/>
    <xf numFmtId="1" fontId="0" fillId="0" borderId="27" xfId="0" applyNumberFormat="1" applyBorder="1" applyAlignment="1" applyProtection="1">
      <alignment horizontal="center"/>
    </xf>
    <xf numFmtId="166" fontId="2" fillId="0" borderId="0" xfId="0" applyNumberFormat="1" applyFont="1" applyBorder="1" applyAlignment="1" applyProtection="1">
      <alignment horizontal="center" vertical="center"/>
    </xf>
    <xf numFmtId="12" fontId="0" fillId="0" borderId="26" xfId="0" applyNumberFormat="1" applyBorder="1" applyAlignment="1" applyProtection="1">
      <alignment horizontal="center" wrapText="1"/>
    </xf>
    <xf numFmtId="0" fontId="0" fillId="2" borderId="0" xfId="0" applyNumberFormat="1" applyFill="1" applyBorder="1" applyAlignment="1" applyProtection="1">
      <alignment horizontal="left" vertical="center"/>
      <protection hidden="1"/>
    </xf>
    <xf numFmtId="0" fontId="0" fillId="2" borderId="0" xfId="0" applyNumberFormat="1" applyFill="1" applyBorder="1" applyAlignment="1" applyProtection="1">
      <alignment horizontal="left"/>
      <protection hidden="1"/>
    </xf>
    <xf numFmtId="164" fontId="0" fillId="2" borderId="0" xfId="0" applyNumberFormat="1" applyFill="1" applyAlignment="1" applyProtection="1">
      <alignment horizontal="center"/>
      <protection hidden="1"/>
    </xf>
    <xf numFmtId="0" fontId="0" fillId="0" borderId="0" xfId="0" applyBorder="1" applyAlignment="1" applyProtection="1">
      <alignment horizontal="center" wrapText="1"/>
      <protection hidden="1"/>
    </xf>
    <xf numFmtId="0" fontId="4" fillId="2" borderId="0" xfId="0" applyFont="1" applyFill="1" applyAlignment="1" applyProtection="1">
      <alignment horizontal="right"/>
      <protection hidden="1"/>
    </xf>
    <xf numFmtId="0" fontId="0" fillId="0" borderId="0" xfId="0" applyBorder="1" applyAlignment="1">
      <alignment horizontal="left"/>
    </xf>
    <xf numFmtId="166" fontId="14" fillId="0" borderId="26" xfId="0" applyNumberFormat="1" applyFont="1" applyBorder="1" applyAlignment="1" applyProtection="1">
      <alignment horizontal="center" vertical="center"/>
    </xf>
    <xf numFmtId="164" fontId="0" fillId="2" borderId="0" xfId="0" applyNumberFormat="1" applyFill="1" applyBorder="1" applyAlignment="1" applyProtection="1">
      <alignment horizontal="center" vertical="top"/>
      <protection hidden="1"/>
    </xf>
    <xf numFmtId="0" fontId="0" fillId="0" borderId="5" xfId="0" applyBorder="1" applyAlignment="1" applyProtection="1">
      <alignment horizontal="center"/>
      <protection hidden="1"/>
    </xf>
    <xf numFmtId="0" fontId="0" fillId="2" borderId="0" xfId="0" applyFill="1" applyAlignment="1">
      <alignment horizontal="center"/>
    </xf>
    <xf numFmtId="166" fontId="0" fillId="2" borderId="0" xfId="0" applyNumberFormat="1" applyFill="1" applyAlignment="1">
      <alignment horizontal="center"/>
    </xf>
    <xf numFmtId="12" fontId="0" fillId="2" borderId="0" xfId="0" applyNumberFormat="1" applyFill="1" applyAlignment="1">
      <alignment horizontal="center"/>
    </xf>
    <xf numFmtId="166" fontId="0" fillId="2" borderId="0" xfId="0" applyNumberFormat="1" applyFill="1" applyAlignment="1">
      <alignment horizontal="center" vertical="center"/>
    </xf>
    <xf numFmtId="12" fontId="0" fillId="2" borderId="0" xfId="0" applyNumberFormat="1" applyFill="1" applyBorder="1" applyAlignment="1">
      <alignment horizontal="center" vertical="center"/>
    </xf>
    <xf numFmtId="166" fontId="8" fillId="2" borderId="0" xfId="0" applyNumberFormat="1" applyFont="1" applyFill="1" applyAlignment="1">
      <alignment horizontal="center" vertical="center"/>
    </xf>
    <xf numFmtId="164" fontId="0" fillId="0" borderId="26" xfId="0" applyNumberFormat="1" applyBorder="1" applyAlignment="1" applyProtection="1">
      <alignment horizontal="center" vertical="center"/>
      <protection hidden="1"/>
    </xf>
    <xf numFmtId="0" fontId="14" fillId="2" borderId="0" xfId="0" applyFont="1" applyFill="1" applyProtection="1">
      <protection locked="0"/>
    </xf>
    <xf numFmtId="0" fontId="2" fillId="0" borderId="0" xfId="0" applyFont="1" applyAlignment="1">
      <alignment horizontal="center" vertical="center" wrapText="1"/>
    </xf>
    <xf numFmtId="0" fontId="14" fillId="0" borderId="0" xfId="0" applyFont="1" applyProtection="1">
      <protection locked="0" hidden="1"/>
    </xf>
    <xf numFmtId="0" fontId="2" fillId="2" borderId="0" xfId="0" applyFont="1" applyFill="1" applyAlignment="1" applyProtection="1">
      <alignment horizontal="right"/>
      <protection hidden="1"/>
    </xf>
    <xf numFmtId="43" fontId="13" fillId="2" borderId="0" xfId="2" applyNumberFormat="1" applyFont="1" applyFill="1" applyBorder="1" applyAlignment="1" applyProtection="1">
      <alignment horizontal="right" wrapText="1"/>
      <protection hidden="1"/>
    </xf>
    <xf numFmtId="43" fontId="4" fillId="2" borderId="27" xfId="0" applyNumberFormat="1" applyFont="1" applyFill="1" applyBorder="1" applyAlignment="1" applyProtection="1">
      <protection hidden="1"/>
    </xf>
    <xf numFmtId="0" fontId="2" fillId="2" borderId="27" xfId="0" applyNumberFormat="1" applyFont="1" applyFill="1" applyBorder="1" applyAlignment="1" applyProtection="1">
      <alignment horizontal="right"/>
      <protection hidden="1"/>
    </xf>
    <xf numFmtId="43" fontId="4" fillId="2" borderId="0" xfId="2" applyNumberFormat="1" applyFont="1" applyFill="1" applyBorder="1" applyAlignment="1" applyProtection="1">
      <alignment vertical="center" wrapText="1"/>
      <protection hidden="1"/>
    </xf>
    <xf numFmtId="0" fontId="4" fillId="2" borderId="0" xfId="2" applyNumberFormat="1" applyFont="1" applyFill="1" applyBorder="1" applyAlignment="1" applyProtection="1">
      <alignment horizontal="right" wrapText="1"/>
      <protection hidden="1"/>
    </xf>
    <xf numFmtId="0" fontId="12" fillId="2" borderId="0" xfId="0" applyFont="1" applyFill="1" applyBorder="1" applyAlignment="1" applyProtection="1">
      <alignment horizontal="center"/>
      <protection hidden="1"/>
    </xf>
    <xf numFmtId="0" fontId="11" fillId="2" borderId="0" xfId="0" applyFont="1" applyFill="1" applyAlignment="1" applyProtection="1">
      <protection hidden="1"/>
    </xf>
    <xf numFmtId="0" fontId="4" fillId="2" borderId="0" xfId="0" applyFont="1" applyFill="1" applyAlignment="1" applyProtection="1">
      <alignment horizontal="center"/>
      <protection hidden="1"/>
    </xf>
    <xf numFmtId="0" fontId="2" fillId="2" borderId="0" xfId="2" applyNumberFormat="1" applyFont="1" applyFill="1" applyBorder="1" applyAlignment="1" applyProtection="1">
      <alignment horizontal="right" wrapText="1"/>
      <protection hidden="1"/>
    </xf>
    <xf numFmtId="0" fontId="2" fillId="3" borderId="26" xfId="0" applyFont="1" applyFill="1" applyBorder="1" applyAlignment="1" applyProtection="1">
      <alignment horizontal="center"/>
      <protection locked="0" hidden="1"/>
    </xf>
    <xf numFmtId="0" fontId="8" fillId="3" borderId="28" xfId="0" applyFont="1" applyFill="1" applyBorder="1" applyAlignment="1">
      <alignment horizontal="center" wrapText="1"/>
    </xf>
    <xf numFmtId="0" fontId="8" fillId="3" borderId="26" xfId="0" applyFont="1" applyFill="1" applyBorder="1" applyAlignment="1">
      <alignment horizontal="center" wrapText="1"/>
    </xf>
    <xf numFmtId="0" fontId="8" fillId="3" borderId="26" xfId="0" applyFont="1" applyFill="1" applyBorder="1" applyAlignment="1">
      <alignment horizontal="center"/>
    </xf>
    <xf numFmtId="166" fontId="8" fillId="3" borderId="28" xfId="0" applyNumberFormat="1" applyFont="1" applyFill="1" applyBorder="1" applyAlignment="1">
      <alignment horizontal="center" vertical="center"/>
    </xf>
    <xf numFmtId="166" fontId="8" fillId="3" borderId="26" xfId="0" applyNumberFormat="1" applyFont="1" applyFill="1" applyBorder="1" applyAlignment="1">
      <alignment horizontal="center" vertical="center"/>
    </xf>
    <xf numFmtId="176" fontId="8" fillId="3" borderId="26" xfId="0" applyNumberFormat="1" applyFont="1" applyFill="1" applyBorder="1" applyAlignment="1">
      <alignment horizontal="center" vertical="center" wrapText="1"/>
    </xf>
    <xf numFmtId="12" fontId="8" fillId="3" borderId="26" xfId="0" applyNumberFormat="1" applyFont="1" applyFill="1" applyBorder="1" applyAlignment="1">
      <alignment horizontal="center" vertical="center"/>
    </xf>
    <xf numFmtId="0" fontId="15" fillId="2" borderId="0" xfId="0" applyFont="1" applyFill="1" applyProtection="1">
      <protection hidden="1"/>
    </xf>
    <xf numFmtId="0" fontId="2" fillId="2" borderId="5" xfId="0" applyFont="1" applyFill="1" applyBorder="1" applyAlignment="1" applyProtection="1">
      <alignment horizontal="center"/>
      <protection hidden="1"/>
    </xf>
    <xf numFmtId="0" fontId="15" fillId="2" borderId="0" xfId="0" applyFont="1" applyFill="1" applyBorder="1" applyAlignment="1">
      <alignment horizontal="right"/>
    </xf>
    <xf numFmtId="0" fontId="25" fillId="3"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hidden="1"/>
    </xf>
    <xf numFmtId="0" fontId="12" fillId="3" borderId="0" xfId="0" applyFont="1" applyFill="1" applyBorder="1" applyAlignment="1" applyProtection="1">
      <alignment horizontal="center" vertical="top"/>
      <protection locked="0"/>
    </xf>
    <xf numFmtId="0" fontId="15" fillId="2" borderId="0" xfId="0" applyFont="1" applyFill="1" applyBorder="1" applyAlignment="1">
      <alignment horizontal="left"/>
    </xf>
    <xf numFmtId="0" fontId="0" fillId="2" borderId="0" xfId="0" applyFill="1" applyAlignment="1">
      <alignment horizontal="right"/>
    </xf>
    <xf numFmtId="0" fontId="4" fillId="2" borderId="0" xfId="0" applyFont="1" applyFill="1" applyBorder="1" applyAlignment="1" applyProtection="1">
      <alignment horizontal="left" vertical="top"/>
      <protection hidden="1"/>
    </xf>
    <xf numFmtId="0" fontId="0" fillId="2" borderId="0" xfId="0" applyFill="1" applyBorder="1" applyProtection="1">
      <protection hidden="1"/>
    </xf>
    <xf numFmtId="0" fontId="0" fillId="2" borderId="0" xfId="0" applyFill="1" applyAlignment="1" applyProtection="1">
      <alignment horizontal="left" vertical="top"/>
      <protection hidden="1"/>
    </xf>
    <xf numFmtId="0" fontId="2" fillId="2" borderId="0" xfId="0" applyFont="1" applyFill="1" applyBorder="1" applyProtection="1">
      <protection hidden="1"/>
    </xf>
    <xf numFmtId="0" fontId="2" fillId="2" borderId="0" xfId="0" applyFont="1" applyFill="1"/>
    <xf numFmtId="0" fontId="8" fillId="2" borderId="0" xfId="0" applyFont="1" applyFill="1"/>
    <xf numFmtId="0" fontId="0" fillId="2" borderId="5" xfId="0" applyFill="1" applyBorder="1" applyAlignment="1">
      <alignment horizontal="left"/>
    </xf>
    <xf numFmtId="0" fontId="0" fillId="2" borderId="29" xfId="0" applyFill="1" applyBorder="1" applyAlignment="1">
      <alignment horizontal="left"/>
    </xf>
    <xf numFmtId="14" fontId="14" fillId="2" borderId="27" xfId="0" applyNumberFormat="1" applyFont="1" applyFill="1" applyBorder="1" applyAlignment="1" applyProtection="1">
      <alignment wrapText="1"/>
      <protection hidden="1"/>
    </xf>
    <xf numFmtId="0" fontId="4" fillId="2" borderId="2" xfId="0" applyFont="1" applyFill="1" applyBorder="1" applyAlignment="1" applyProtection="1">
      <protection hidden="1"/>
    </xf>
    <xf numFmtId="0" fontId="4" fillId="2" borderId="0" xfId="0" applyFont="1" applyFill="1" applyBorder="1" applyAlignment="1" applyProtection="1">
      <protection hidden="1"/>
    </xf>
    <xf numFmtId="0" fontId="4" fillId="0" borderId="0" xfId="0" applyFont="1" applyFill="1" applyBorder="1" applyProtection="1">
      <protection hidden="1"/>
    </xf>
    <xf numFmtId="49" fontId="4" fillId="2" borderId="0" xfId="0" applyNumberFormat="1" applyFont="1" applyFill="1" applyAlignment="1" applyProtection="1">
      <protection hidden="1"/>
    </xf>
    <xf numFmtId="0" fontId="4" fillId="0" borderId="0" xfId="0" applyFont="1" applyFill="1" applyAlignment="1" applyProtection="1">
      <protection hidden="1"/>
    </xf>
    <xf numFmtId="49" fontId="4" fillId="0" borderId="0" xfId="0" applyNumberFormat="1" applyFont="1" applyFill="1"/>
    <xf numFmtId="0" fontId="4" fillId="0" borderId="0" xfId="0" applyFont="1" applyFill="1"/>
    <xf numFmtId="0" fontId="4" fillId="0" borderId="0" xfId="0" applyFont="1" applyFill="1" applyAlignment="1" applyProtection="1">
      <alignment vertical="top" wrapText="1"/>
      <protection hidden="1"/>
    </xf>
    <xf numFmtId="0" fontId="13" fillId="2" borderId="0" xfId="0" applyFont="1" applyFill="1" applyAlignment="1" applyProtection="1">
      <alignment horizontal="left" wrapText="1"/>
      <protection hidden="1"/>
    </xf>
    <xf numFmtId="12" fontId="2" fillId="0" borderId="26" xfId="6" applyNumberFormat="1" applyFont="1" applyBorder="1" applyAlignment="1" applyProtection="1">
      <alignment horizontal="center"/>
    </xf>
    <xf numFmtId="0" fontId="0" fillId="0" borderId="26" xfId="0" applyNumberFormat="1" applyBorder="1" applyAlignment="1" applyProtection="1">
      <alignment horizontal="center" wrapText="1"/>
      <protection locked="0"/>
    </xf>
    <xf numFmtId="0" fontId="0" fillId="0" borderId="0" xfId="0" applyAlignment="1">
      <alignment vertical="top" wrapText="1"/>
    </xf>
    <xf numFmtId="0" fontId="0" fillId="0" borderId="0" xfId="0" applyAlignment="1">
      <alignment vertical="center"/>
    </xf>
    <xf numFmtId="0" fontId="4" fillId="2" borderId="0" xfId="0" applyFont="1" applyFill="1" applyAlignment="1" applyProtection="1">
      <alignment horizontal="left" wrapText="1"/>
      <protection hidden="1"/>
    </xf>
    <xf numFmtId="174" fontId="2" fillId="2" borderId="0" xfId="0" applyNumberFormat="1" applyFont="1" applyFill="1" applyBorder="1" applyAlignment="1" applyProtection="1">
      <alignment horizontal="center"/>
      <protection hidden="1"/>
    </xf>
    <xf numFmtId="0" fontId="4" fillId="2" borderId="32" xfId="0" applyFont="1" applyFill="1" applyBorder="1" applyProtection="1">
      <protection hidden="1"/>
    </xf>
    <xf numFmtId="0" fontId="10" fillId="2" borderId="2" xfId="0" applyFont="1" applyFill="1" applyBorder="1" applyAlignment="1" applyProtection="1">
      <alignment horizontal="center"/>
      <protection hidden="1"/>
    </xf>
    <xf numFmtId="0" fontId="10" fillId="2" borderId="3" xfId="0" applyFont="1" applyFill="1" applyBorder="1" applyAlignment="1" applyProtection="1">
      <alignment horizontal="center"/>
      <protection hidden="1"/>
    </xf>
    <xf numFmtId="0" fontId="4" fillId="2" borderId="0" xfId="0" applyFont="1" applyFill="1" applyBorder="1" applyProtection="1">
      <protection hidden="1"/>
    </xf>
    <xf numFmtId="0" fontId="4" fillId="2" borderId="3" xfId="0" applyFont="1" applyFill="1" applyBorder="1" applyProtection="1">
      <protection hidden="1"/>
    </xf>
    <xf numFmtId="0" fontId="10" fillId="2" borderId="4" xfId="0" applyFont="1" applyFill="1" applyBorder="1" applyAlignment="1" applyProtection="1">
      <alignment horizontal="center"/>
      <protection hidden="1"/>
    </xf>
    <xf numFmtId="0" fontId="10" fillId="2" borderId="5" xfId="0" applyFont="1" applyFill="1" applyBorder="1" applyAlignment="1" applyProtection="1">
      <alignment horizontal="center"/>
      <protection hidden="1"/>
    </xf>
    <xf numFmtId="0" fontId="10" fillId="2" borderId="1" xfId="0" applyFont="1" applyFill="1" applyBorder="1" applyAlignment="1" applyProtection="1">
      <alignment horizontal="center"/>
      <protection hidden="1"/>
    </xf>
    <xf numFmtId="172" fontId="2" fillId="2" borderId="0" xfId="0" applyNumberFormat="1" applyFont="1" applyFill="1" applyBorder="1" applyAlignment="1" applyProtection="1">
      <alignment horizontal="center"/>
      <protection hidden="1"/>
    </xf>
    <xf numFmtId="0" fontId="4" fillId="2" borderId="2" xfId="0" applyFont="1" applyFill="1" applyBorder="1" applyProtection="1">
      <protection hidden="1"/>
    </xf>
    <xf numFmtId="0" fontId="2" fillId="2" borderId="26" xfId="0" applyFont="1" applyFill="1" applyBorder="1" applyAlignment="1" applyProtection="1">
      <alignment horizontal="center"/>
      <protection locked="0"/>
    </xf>
    <xf numFmtId="0" fontId="4" fillId="2" borderId="4" xfId="0" applyFont="1" applyFill="1" applyBorder="1" applyProtection="1">
      <protection hidden="1"/>
    </xf>
    <xf numFmtId="0" fontId="4" fillId="2" borderId="1" xfId="0" applyFont="1" applyFill="1" applyBorder="1" applyProtection="1">
      <protection hidden="1"/>
    </xf>
    <xf numFmtId="0" fontId="2" fillId="2" borderId="2" xfId="0" applyFont="1" applyFill="1" applyBorder="1" applyProtection="1">
      <protection hidden="1"/>
    </xf>
    <xf numFmtId="0" fontId="2" fillId="2" borderId="26" xfId="0" applyFont="1" applyFill="1" applyBorder="1" applyAlignment="1" applyProtection="1">
      <alignment horizontal="center"/>
      <protection hidden="1"/>
    </xf>
    <xf numFmtId="0" fontId="2" fillId="2" borderId="5" xfId="0" applyFont="1" applyFill="1" applyBorder="1" applyProtection="1">
      <protection hidden="1"/>
    </xf>
    <xf numFmtId="1" fontId="29" fillId="2" borderId="2" xfId="0" applyNumberFormat="1" applyFont="1" applyFill="1" applyBorder="1" applyAlignment="1" applyProtection="1">
      <alignment horizontal="left"/>
      <protection hidden="1"/>
    </xf>
    <xf numFmtId="0" fontId="2" fillId="2" borderId="5" xfId="0" applyFont="1" applyFill="1" applyBorder="1" applyAlignment="1" applyProtection="1">
      <protection hidden="1"/>
    </xf>
    <xf numFmtId="9" fontId="10" fillId="2" borderId="0" xfId="0" applyNumberFormat="1" applyFont="1" applyFill="1" applyBorder="1" applyAlignment="1" applyProtection="1">
      <alignment horizontal="center"/>
      <protection hidden="1"/>
    </xf>
    <xf numFmtId="0" fontId="0" fillId="2" borderId="0" xfId="0" applyFill="1" applyBorder="1" applyAlignment="1">
      <alignment horizontal="center" vertical="center"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Border="1" applyAlignment="1">
      <alignment horizontal="center" vertical="center"/>
    </xf>
    <xf numFmtId="0" fontId="4" fillId="2" borderId="0" xfId="0" applyFont="1" applyFill="1" applyBorder="1" applyAlignment="1">
      <alignment vertical="top" wrapText="1"/>
    </xf>
    <xf numFmtId="0" fontId="25" fillId="2" borderId="0" xfId="0" applyFont="1" applyFill="1" applyBorder="1" applyAlignment="1" applyProtection="1">
      <alignment horizontal="center"/>
      <protection hidden="1"/>
    </xf>
    <xf numFmtId="0" fontId="2" fillId="2" borderId="0" xfId="0" applyFont="1" applyFill="1" applyBorder="1" applyAlignment="1"/>
    <xf numFmtId="0" fontId="25" fillId="2" borderId="5" xfId="0" applyFont="1" applyFill="1" applyBorder="1" applyAlignment="1" applyProtection="1">
      <alignment horizontal="center"/>
      <protection hidden="1"/>
    </xf>
    <xf numFmtId="0" fontId="2" fillId="0" borderId="2" xfId="0" applyFont="1" applyFill="1" applyBorder="1" applyProtection="1">
      <protection hidden="1"/>
    </xf>
    <xf numFmtId="44" fontId="2" fillId="2" borderId="0" xfId="0" applyNumberFormat="1" applyFont="1" applyFill="1" applyBorder="1" applyAlignment="1" applyProtection="1">
      <protection hidden="1"/>
    </xf>
    <xf numFmtId="0" fontId="10" fillId="0" borderId="0" xfId="0" applyFont="1" applyAlignment="1">
      <alignment vertical="top"/>
    </xf>
    <xf numFmtId="49" fontId="4" fillId="2" borderId="0" xfId="0" applyNumberFormat="1" applyFont="1" applyFill="1" applyBorder="1" applyAlignment="1" applyProtection="1">
      <alignment vertical="top"/>
      <protection hidden="1"/>
    </xf>
    <xf numFmtId="0" fontId="4" fillId="2" borderId="0" xfId="0" applyFont="1" applyFill="1" applyBorder="1" applyAlignment="1" applyProtection="1">
      <alignment vertical="top"/>
      <protection hidden="1"/>
    </xf>
    <xf numFmtId="49" fontId="4" fillId="2" borderId="0" xfId="0" applyNumberFormat="1" applyFont="1" applyFill="1" applyAlignment="1" applyProtection="1">
      <alignment vertical="top"/>
      <protection hidden="1"/>
    </xf>
    <xf numFmtId="0" fontId="4" fillId="2" borderId="0" xfId="0" applyFont="1" applyFill="1" applyBorder="1" applyAlignment="1" applyProtection="1">
      <alignment vertical="top" wrapText="1"/>
      <protection hidden="1"/>
    </xf>
    <xf numFmtId="0" fontId="4" fillId="2" borderId="0" xfId="0" applyFont="1" applyFill="1" applyAlignment="1" applyProtection="1">
      <alignment vertical="top"/>
      <protection hidden="1"/>
    </xf>
    <xf numFmtId="49" fontId="4" fillId="2" borderId="0" xfId="0" applyNumberFormat="1" applyFont="1" applyFill="1" applyBorder="1" applyAlignment="1" applyProtection="1">
      <alignment vertical="top" wrapText="1"/>
      <protection hidden="1"/>
    </xf>
    <xf numFmtId="0" fontId="2" fillId="2" borderId="0" xfId="0" applyFont="1" applyFill="1" applyAlignment="1" applyProtection="1">
      <alignment vertical="top"/>
      <protection hidden="1"/>
    </xf>
    <xf numFmtId="173" fontId="4" fillId="2" borderId="0" xfId="0" applyNumberFormat="1" applyFont="1" applyFill="1" applyAlignment="1" applyProtection="1">
      <alignment vertical="top"/>
      <protection hidden="1"/>
    </xf>
    <xf numFmtId="49" fontId="4" fillId="2" borderId="0" xfId="0" applyNumberFormat="1" applyFont="1" applyFill="1" applyAlignment="1" applyProtection="1">
      <alignment horizontal="left" vertical="top" wrapText="1"/>
      <protection hidden="1"/>
    </xf>
    <xf numFmtId="0" fontId="2" fillId="2" borderId="0" xfId="0" applyFont="1" applyFill="1" applyBorder="1" applyAlignment="1" applyProtection="1">
      <alignment horizontal="center" vertical="top"/>
      <protection hidden="1"/>
    </xf>
    <xf numFmtId="0" fontId="2" fillId="2" borderId="0" xfId="0" applyFont="1" applyFill="1" applyBorder="1" applyAlignment="1" applyProtection="1">
      <alignment vertical="top"/>
      <protection hidden="1"/>
    </xf>
    <xf numFmtId="173" fontId="2" fillId="2" borderId="0" xfId="0" applyNumberFormat="1" applyFont="1" applyFill="1" applyAlignment="1" applyProtection="1">
      <alignment horizontal="left" vertical="top"/>
      <protection hidden="1"/>
    </xf>
    <xf numFmtId="0" fontId="0" fillId="2" borderId="0" xfId="0" applyNumberFormat="1" applyFill="1" applyAlignment="1" applyProtection="1">
      <alignment vertical="top" wrapText="1"/>
      <protection hidden="1"/>
    </xf>
    <xf numFmtId="168" fontId="2" fillId="2" borderId="0" xfId="0" applyNumberFormat="1" applyFont="1" applyFill="1" applyBorder="1" applyAlignment="1" applyProtection="1">
      <alignment vertical="top"/>
      <protection hidden="1"/>
    </xf>
    <xf numFmtId="0" fontId="2"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top"/>
      <protection hidden="1"/>
    </xf>
    <xf numFmtId="0" fontId="4" fillId="2" borderId="0" xfId="0" applyFont="1" applyFill="1" applyAlignment="1" applyProtection="1">
      <alignment horizontal="left" vertical="top"/>
      <protection hidden="1"/>
    </xf>
    <xf numFmtId="0" fontId="0" fillId="2" borderId="5" xfId="0" applyFill="1" applyBorder="1" applyAlignment="1" applyProtection="1">
      <alignment horizontal="center"/>
      <protection hidden="1"/>
    </xf>
    <xf numFmtId="0" fontId="4" fillId="2" borderId="0" xfId="0" applyFont="1" applyFill="1" applyAlignment="1" applyProtection="1">
      <alignment horizontal="right" vertical="top"/>
      <protection hidden="1"/>
    </xf>
    <xf numFmtId="9" fontId="24" fillId="2" borderId="0" xfId="0" applyNumberFormat="1" applyFont="1" applyFill="1" applyBorder="1" applyAlignment="1" applyProtection="1">
      <alignment horizontal="center" vertical="top"/>
      <protection hidden="1"/>
    </xf>
    <xf numFmtId="0" fontId="24" fillId="2" borderId="0" xfId="0" applyFont="1" applyFill="1" applyAlignment="1" applyProtection="1">
      <alignment horizontal="center" vertical="top"/>
      <protection hidden="1"/>
    </xf>
    <xf numFmtId="9" fontId="4" fillId="2" borderId="0" xfId="0" applyNumberFormat="1" applyFont="1" applyFill="1" applyBorder="1" applyAlignment="1" applyProtection="1">
      <alignment horizontal="center" vertical="top"/>
      <protection hidden="1"/>
    </xf>
    <xf numFmtId="9" fontId="4" fillId="2" borderId="0" xfId="0" applyNumberFormat="1" applyFont="1" applyFill="1" applyAlignment="1" applyProtection="1">
      <alignment vertical="top"/>
      <protection hidden="1"/>
    </xf>
    <xf numFmtId="0" fontId="0" fillId="2" borderId="2" xfId="0" applyFill="1" applyBorder="1" applyProtection="1">
      <protection hidden="1"/>
    </xf>
    <xf numFmtId="49" fontId="4" fillId="2" borderId="0" xfId="0" applyNumberFormat="1" applyFont="1" applyFill="1" applyAlignment="1" applyProtection="1">
      <alignment vertical="center"/>
      <protection hidden="1"/>
    </xf>
    <xf numFmtId="168" fontId="4" fillId="2" borderId="0" xfId="0" applyNumberFormat="1" applyFont="1" applyFill="1" applyBorder="1" applyAlignment="1" applyProtection="1">
      <alignment horizontal="left" vertical="top" wrapText="1"/>
      <protection hidden="1"/>
    </xf>
    <xf numFmtId="178" fontId="34" fillId="2" borderId="0" xfId="0" applyNumberFormat="1" applyFont="1" applyFill="1" applyBorder="1" applyAlignment="1" applyProtection="1">
      <alignment horizontal="center"/>
      <protection locked="0"/>
    </xf>
    <xf numFmtId="0" fontId="15" fillId="2" borderId="0" xfId="0" applyFont="1" applyFill="1" applyAlignment="1" applyProtection="1">
      <alignment horizontal="right" vertical="top"/>
      <protection hidden="1"/>
    </xf>
    <xf numFmtId="0" fontId="2" fillId="2" borderId="5" xfId="0" applyFont="1" applyFill="1" applyBorder="1" applyAlignment="1" applyProtection="1">
      <alignment horizontal="left"/>
      <protection hidden="1"/>
    </xf>
    <xf numFmtId="173" fontId="2" fillId="2" borderId="3" xfId="0" applyNumberFormat="1" applyFont="1" applyFill="1" applyBorder="1" applyAlignment="1" applyProtection="1">
      <alignment horizontal="center"/>
      <protection hidden="1"/>
    </xf>
    <xf numFmtId="173" fontId="2" fillId="2" borderId="0" xfId="0" applyNumberFormat="1" applyFont="1" applyFill="1" applyBorder="1" applyAlignment="1" applyProtection="1">
      <alignment horizontal="center"/>
      <protection hidden="1"/>
    </xf>
    <xf numFmtId="44" fontId="4" fillId="2" borderId="5" xfId="0" applyNumberFormat="1" applyFont="1" applyFill="1" applyBorder="1" applyAlignment="1" applyProtection="1">
      <protection hidden="1"/>
    </xf>
    <xf numFmtId="171" fontId="2" fillId="2" borderId="5" xfId="0" applyNumberFormat="1" applyFont="1" applyFill="1" applyBorder="1" applyAlignment="1" applyProtection="1">
      <alignment horizontal="center"/>
      <protection hidden="1"/>
    </xf>
    <xf numFmtId="173" fontId="2" fillId="2" borderId="0" xfId="0" applyNumberFormat="1" applyFont="1" applyFill="1" applyBorder="1" applyAlignment="1" applyProtection="1">
      <alignment horizontal="left"/>
      <protection hidden="1"/>
    </xf>
    <xf numFmtId="168" fontId="2" fillId="2" borderId="0" xfId="0" applyNumberFormat="1" applyFont="1" applyFill="1" applyBorder="1" applyAlignment="1" applyProtection="1">
      <alignment horizontal="center"/>
      <protection hidden="1"/>
    </xf>
    <xf numFmtId="0" fontId="4" fillId="2" borderId="0" xfId="0" applyNumberFormat="1" applyFont="1" applyFill="1" applyBorder="1" applyAlignment="1" applyProtection="1">
      <alignment horizontal="left" vertical="top"/>
      <protection hidden="1"/>
    </xf>
    <xf numFmtId="0" fontId="0" fillId="2" borderId="0" xfId="0" applyFill="1" applyBorder="1" applyAlignment="1" applyProtection="1">
      <alignment horizontal="left" vertical="top"/>
      <protection hidden="1"/>
    </xf>
    <xf numFmtId="14" fontId="4" fillId="2" borderId="0" xfId="0" applyNumberFormat="1" applyFont="1" applyFill="1" applyBorder="1" applyAlignment="1" applyProtection="1">
      <alignment horizontal="center" vertical="top"/>
      <protection hidden="1"/>
    </xf>
    <xf numFmtId="0" fontId="0" fillId="2" borderId="0" xfId="0" applyFill="1" applyBorder="1" applyAlignment="1" applyProtection="1">
      <alignment horizontal="center" vertical="top"/>
      <protection hidden="1"/>
    </xf>
    <xf numFmtId="0" fontId="4" fillId="2" borderId="0" xfId="0" applyNumberFormat="1" applyFont="1" applyFill="1" applyBorder="1" applyAlignment="1" applyProtection="1">
      <alignment horizontal="center" vertical="top"/>
      <protection hidden="1"/>
    </xf>
    <xf numFmtId="0" fontId="0" fillId="0" borderId="0" xfId="0" applyAlignment="1">
      <alignment horizontal="center" vertical="top"/>
    </xf>
    <xf numFmtId="0" fontId="4" fillId="0" borderId="0" xfId="0" applyFont="1" applyFill="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1" fontId="4" fillId="2" borderId="0" xfId="0" applyNumberFormat="1" applyFont="1" applyFill="1" applyProtection="1">
      <protection hidden="1"/>
    </xf>
    <xf numFmtId="177" fontId="4" fillId="2" borderId="0" xfId="0" applyNumberFormat="1" applyFont="1" applyFill="1" applyAlignment="1" applyProtection="1">
      <alignment vertical="top"/>
      <protection hidden="1"/>
    </xf>
    <xf numFmtId="49" fontId="4" fillId="0" borderId="0" xfId="0" applyNumberFormat="1" applyFont="1" applyFill="1" applyAlignment="1">
      <alignment vertical="top"/>
    </xf>
    <xf numFmtId="0" fontId="10" fillId="0" borderId="0" xfId="0" applyFont="1" applyAlignment="1">
      <alignment horizontal="left" vertical="top"/>
    </xf>
    <xf numFmtId="0" fontId="0" fillId="2" borderId="0" xfId="0" applyFill="1" applyAlignment="1">
      <alignment horizontal="left" wrapText="1"/>
    </xf>
    <xf numFmtId="1" fontId="0" fillId="0" borderId="0" xfId="0" applyNumberFormat="1"/>
    <xf numFmtId="0" fontId="10" fillId="2" borderId="34" xfId="0" applyFont="1" applyFill="1" applyBorder="1" applyAlignment="1" applyProtection="1">
      <alignment horizontal="center"/>
      <protection hidden="1"/>
    </xf>
    <xf numFmtId="0" fontId="10" fillId="2" borderId="35" xfId="0" applyFont="1" applyFill="1" applyBorder="1" applyAlignment="1" applyProtection="1">
      <alignment horizontal="center"/>
      <protection hidden="1"/>
    </xf>
    <xf numFmtId="0" fontId="0" fillId="2" borderId="35" xfId="0" applyFill="1" applyBorder="1" applyAlignment="1">
      <alignment horizontal="center" vertical="center"/>
    </xf>
    <xf numFmtId="0" fontId="4" fillId="2" borderId="35" xfId="0" applyFont="1" applyFill="1" applyBorder="1" applyAlignment="1">
      <alignment vertical="top" wrapText="1"/>
    </xf>
    <xf numFmtId="0" fontId="10" fillId="2" borderId="36" xfId="0" applyFont="1" applyFill="1" applyBorder="1" applyAlignment="1" applyProtection="1">
      <alignment horizontal="center"/>
      <protection hidden="1"/>
    </xf>
    <xf numFmtId="0" fontId="4" fillId="2" borderId="30" xfId="0" applyNumberFormat="1" applyFont="1" applyFill="1" applyBorder="1" applyAlignment="1" applyProtection="1">
      <alignment horizontal="left" vertical="top"/>
      <protection hidden="1"/>
    </xf>
    <xf numFmtId="0" fontId="0" fillId="2" borderId="29" xfId="0" applyFill="1" applyBorder="1" applyAlignment="1" applyProtection="1">
      <alignment horizontal="left" vertical="top"/>
      <protection hidden="1"/>
    </xf>
    <xf numFmtId="0" fontId="10" fillId="2" borderId="0" xfId="0" applyFont="1" applyFill="1" applyAlignment="1" applyProtection="1">
      <alignment horizontal="center" vertical="top"/>
      <protection hidden="1"/>
    </xf>
    <xf numFmtId="0" fontId="0" fillId="2" borderId="28" xfId="0" applyFill="1" applyBorder="1" applyAlignment="1" applyProtection="1">
      <alignment horizontal="right" vertical="top"/>
      <protection hidden="1"/>
    </xf>
    <xf numFmtId="0" fontId="0" fillId="2" borderId="0" xfId="0" applyFill="1" applyAlignment="1" applyProtection="1">
      <alignment horizontal="center" vertical="top"/>
      <protection hidden="1"/>
    </xf>
    <xf numFmtId="174" fontId="2" fillId="2" borderId="0" xfId="0" applyNumberFormat="1" applyFont="1" applyFill="1" applyAlignment="1" applyProtection="1">
      <alignment horizontal="center" vertical="top"/>
      <protection hidden="1"/>
    </xf>
    <xf numFmtId="174" fontId="2" fillId="2" borderId="0" xfId="0" applyNumberFormat="1" applyFont="1" applyFill="1" applyAlignment="1" applyProtection="1">
      <alignment vertical="top"/>
      <protection hidden="1"/>
    </xf>
    <xf numFmtId="44" fontId="2" fillId="2" borderId="0" xfId="0" applyNumberFormat="1" applyFont="1" applyFill="1" applyAlignment="1" applyProtection="1">
      <alignment horizontal="center"/>
      <protection hidden="1"/>
    </xf>
    <xf numFmtId="0" fontId="15" fillId="2" borderId="3" xfId="0" applyFont="1" applyFill="1" applyBorder="1" applyAlignment="1" applyProtection="1">
      <alignment horizontal="center"/>
      <protection hidden="1"/>
    </xf>
    <xf numFmtId="0" fontId="4" fillId="2" borderId="27" xfId="0" applyFont="1" applyFill="1" applyBorder="1" applyAlignment="1" applyProtection="1">
      <alignment vertical="top" wrapText="1"/>
      <protection hidden="1"/>
    </xf>
    <xf numFmtId="49" fontId="4" fillId="2" borderId="0" xfId="0" applyNumberFormat="1" applyFont="1" applyFill="1" applyAlignment="1" applyProtection="1">
      <alignment vertical="top" wrapText="1"/>
      <protection hidden="1"/>
    </xf>
    <xf numFmtId="49" fontId="2" fillId="2" borderId="0" xfId="0" applyNumberFormat="1" applyFont="1" applyFill="1" applyBorder="1" applyAlignment="1" applyProtection="1">
      <protection hidden="1"/>
    </xf>
    <xf numFmtId="49" fontId="2" fillId="2" borderId="0" xfId="0" applyNumberFormat="1" applyFont="1" applyFill="1" applyBorder="1" applyProtection="1">
      <protection hidden="1"/>
    </xf>
    <xf numFmtId="0" fontId="0" fillId="2" borderId="0" xfId="0" applyFill="1" applyBorder="1" applyAlignment="1" applyProtection="1">
      <alignment horizontal="left" vertical="top" wrapText="1"/>
      <protection hidden="1"/>
    </xf>
    <xf numFmtId="1" fontId="38" fillId="0" borderId="37" xfId="5" applyNumberFormat="1" applyFont="1" applyBorder="1" applyAlignment="1" applyProtection="1">
      <alignment horizontal="right" vertical="center"/>
    </xf>
    <xf numFmtId="1" fontId="38" fillId="0" borderId="6" xfId="5" applyNumberFormat="1" applyFont="1" applyBorder="1" applyAlignment="1" applyProtection="1">
      <alignment horizontal="right" vertical="center"/>
    </xf>
    <xf numFmtId="1" fontId="38" fillId="0" borderId="38" xfId="5" applyNumberFormat="1" applyFont="1" applyBorder="1" applyAlignment="1" applyProtection="1">
      <alignment horizontal="right" vertical="center"/>
    </xf>
    <xf numFmtId="1" fontId="1" fillId="0" borderId="0" xfId="5" applyNumberFormat="1" applyFill="1" applyBorder="1"/>
    <xf numFmtId="1" fontId="41" fillId="5" borderId="19" xfId="5" applyNumberFormat="1" applyFont="1" applyFill="1" applyBorder="1" applyAlignment="1" applyProtection="1">
      <alignment horizontal="center" vertical="center" wrapText="1"/>
    </xf>
    <xf numFmtId="0" fontId="4" fillId="2" borderId="0" xfId="0" applyFont="1" applyFill="1" applyAlignment="1" applyProtection="1">
      <protection hidden="1"/>
    </xf>
    <xf numFmtId="0" fontId="4" fillId="2" borderId="0" xfId="0" applyFont="1" applyFill="1" applyAlignment="1" applyProtection="1">
      <alignment horizontal="left"/>
      <protection hidden="1"/>
    </xf>
    <xf numFmtId="0" fontId="0" fillId="2" borderId="0" xfId="0" applyFill="1" applyAlignment="1"/>
    <xf numFmtId="0" fontId="0" fillId="2" borderId="0" xfId="0" applyFill="1" applyAlignment="1" applyProtection="1">
      <protection hidden="1"/>
    </xf>
    <xf numFmtId="0" fontId="8" fillId="2" borderId="0" xfId="0" applyFont="1" applyFill="1" applyAlignment="1" applyProtection="1">
      <protection hidden="1"/>
    </xf>
    <xf numFmtId="0" fontId="4" fillId="2" borderId="0" xfId="0" applyFont="1" applyFill="1" applyAlignment="1" applyProtection="1">
      <alignment horizontal="right"/>
      <protection hidden="1"/>
    </xf>
    <xf numFmtId="1" fontId="2" fillId="2" borderId="29" xfId="0" applyNumberFormat="1" applyFont="1" applyFill="1" applyBorder="1" applyAlignment="1" applyProtection="1">
      <alignment horizontal="left"/>
      <protection hidden="1"/>
    </xf>
    <xf numFmtId="0" fontId="0" fillId="0" borderId="27" xfId="0" applyBorder="1" applyAlignment="1"/>
    <xf numFmtId="0" fontId="6" fillId="0" borderId="0" xfId="0" applyFont="1" applyFill="1" applyAlignment="1" applyProtection="1">
      <alignment horizontal="center" vertical="top"/>
      <protection hidden="1"/>
    </xf>
    <xf numFmtId="0" fontId="4" fillId="7" borderId="0" xfId="0" applyFont="1" applyFill="1" applyProtection="1">
      <protection hidden="1"/>
    </xf>
    <xf numFmtId="0" fontId="4" fillId="7" borderId="0" xfId="0" applyFont="1" applyFill="1" applyBorder="1" applyAlignment="1" applyProtection="1">
      <protection hidden="1"/>
    </xf>
    <xf numFmtId="0" fontId="1" fillId="2" borderId="0" xfId="0" applyFont="1" applyFill="1" applyAlignment="1" applyProtection="1">
      <alignment horizontal="left"/>
      <protection hidden="1"/>
    </xf>
    <xf numFmtId="0" fontId="2" fillId="2" borderId="28" xfId="0" applyFont="1" applyFill="1" applyBorder="1" applyAlignment="1" applyProtection="1">
      <alignment horizontal="center"/>
      <protection hidden="1"/>
    </xf>
    <xf numFmtId="0" fontId="1" fillId="7" borderId="0" xfId="0" applyFont="1" applyFill="1" applyAlignment="1" applyProtection="1">
      <alignment horizontal="right"/>
      <protection hidden="1"/>
    </xf>
    <xf numFmtId="0" fontId="2" fillId="6" borderId="26" xfId="0" applyFont="1" applyFill="1" applyBorder="1" applyAlignment="1" applyProtection="1">
      <alignment horizontal="center"/>
      <protection locked="0" hidden="1"/>
    </xf>
    <xf numFmtId="0" fontId="0" fillId="7" borderId="0" xfId="0" applyFill="1" applyAlignment="1">
      <alignment wrapText="1"/>
    </xf>
    <xf numFmtId="0" fontId="0" fillId="2" borderId="0" xfId="0" applyFill="1" applyAlignment="1" applyProtection="1">
      <alignment wrapText="1"/>
      <protection hidden="1"/>
    </xf>
    <xf numFmtId="0" fontId="8" fillId="2" borderId="0" xfId="0" applyFont="1" applyFill="1" applyBorder="1" applyAlignment="1" applyProtection="1">
      <alignment horizontal="right" wrapText="1"/>
      <protection hidden="1"/>
    </xf>
    <xf numFmtId="0" fontId="0" fillId="0" borderId="0" xfId="0"/>
    <xf numFmtId="0" fontId="0" fillId="0" borderId="0" xfId="0" applyAlignment="1">
      <alignment vertical="top"/>
    </xf>
    <xf numFmtId="0" fontId="2" fillId="2" borderId="5" xfId="0" applyFont="1" applyFill="1" applyBorder="1" applyAlignment="1" applyProtection="1">
      <alignment horizontal="center"/>
      <protection hidden="1"/>
    </xf>
    <xf numFmtId="0" fontId="4" fillId="7" borderId="0" xfId="0" applyFont="1" applyFill="1" applyAlignment="1" applyProtection="1">
      <protection hidden="1"/>
    </xf>
    <xf numFmtId="0" fontId="15" fillId="7" borderId="0" xfId="0" applyFont="1" applyFill="1" applyBorder="1" applyAlignment="1">
      <alignment horizontal="right"/>
    </xf>
    <xf numFmtId="0" fontId="0" fillId="7" borderId="0" xfId="0" applyFill="1" applyAlignment="1" applyProtection="1">
      <protection hidden="1"/>
    </xf>
    <xf numFmtId="0" fontId="4" fillId="7" borderId="0" xfId="0" applyFont="1" applyFill="1" applyAlignment="1" applyProtection="1">
      <protection hidden="1"/>
    </xf>
    <xf numFmtId="0" fontId="0" fillId="7" borderId="0" xfId="0" applyFill="1" applyAlignment="1"/>
    <xf numFmtId="0" fontId="0" fillId="7" borderId="0" xfId="0" applyFill="1"/>
    <xf numFmtId="49" fontId="0" fillId="7" borderId="0" xfId="0" applyNumberFormat="1" applyFill="1" applyProtection="1">
      <protection hidden="1"/>
    </xf>
    <xf numFmtId="0" fontId="5" fillId="7" borderId="0" xfId="0" applyFont="1" applyFill="1" applyAlignment="1" applyProtection="1">
      <alignment horizontal="center" wrapText="1"/>
      <protection hidden="1"/>
    </xf>
    <xf numFmtId="0" fontId="0" fillId="7" borderId="0" xfId="0" applyFill="1" applyAlignment="1" applyProtection="1">
      <alignment wrapText="1"/>
      <protection hidden="1"/>
    </xf>
    <xf numFmtId="0" fontId="4" fillId="7" borderId="0" xfId="0" applyFont="1" applyFill="1" applyAlignment="1" applyProtection="1">
      <alignment horizontal="left"/>
      <protection hidden="1"/>
    </xf>
    <xf numFmtId="0" fontId="0" fillId="7" borderId="0" xfId="0" applyFill="1" applyProtection="1">
      <protection hidden="1"/>
    </xf>
    <xf numFmtId="0" fontId="4" fillId="7" borderId="0" xfId="0" applyFont="1" applyFill="1" applyAlignment="1" applyProtection="1">
      <alignment horizontal="left" vertical="center" wrapText="1"/>
      <protection hidden="1"/>
    </xf>
    <xf numFmtId="49" fontId="0" fillId="7" borderId="0" xfId="0" applyNumberFormat="1" applyFill="1" applyAlignment="1" applyProtection="1">
      <protection hidden="1"/>
    </xf>
    <xf numFmtId="0" fontId="8" fillId="7" borderId="0" xfId="0" applyFont="1" applyFill="1" applyAlignment="1" applyProtection="1">
      <alignment horizontal="right"/>
      <protection hidden="1"/>
    </xf>
    <xf numFmtId="49" fontId="0" fillId="7" borderId="0" xfId="0" applyNumberFormat="1" applyFill="1" applyAlignment="1" applyProtection="1">
      <alignment vertical="top" wrapText="1"/>
      <protection hidden="1"/>
    </xf>
    <xf numFmtId="0" fontId="10" fillId="7" borderId="0" xfId="0" applyFont="1" applyFill="1" applyAlignment="1" applyProtection="1">
      <alignment horizontal="center"/>
      <protection hidden="1"/>
    </xf>
    <xf numFmtId="0" fontId="4" fillId="7" borderId="0" xfId="0" applyFont="1" applyFill="1" applyBorder="1" applyAlignment="1" applyProtection="1">
      <alignment horizontal="center"/>
      <protection hidden="1"/>
    </xf>
    <xf numFmtId="49" fontId="0" fillId="7" borderId="0" xfId="0" applyNumberFormat="1" applyFill="1" applyAlignment="1" applyProtection="1">
      <alignment vertical="top"/>
      <protection hidden="1"/>
    </xf>
    <xf numFmtId="186" fontId="2" fillId="7" borderId="5" xfId="0" applyNumberFormat="1" applyFont="1" applyFill="1" applyBorder="1" applyAlignment="1">
      <alignment horizontal="center" vertical="top" wrapText="1"/>
    </xf>
    <xf numFmtId="187" fontId="2" fillId="7" borderId="5" xfId="2" applyNumberFormat="1" applyFont="1" applyFill="1" applyBorder="1" applyAlignment="1" applyProtection="1">
      <alignment horizontal="center" wrapText="1"/>
      <protection hidden="1"/>
    </xf>
    <xf numFmtId="0" fontId="0" fillId="7" borderId="0" xfId="0" applyFill="1" applyBorder="1" applyAlignment="1" applyProtection="1">
      <alignment horizontal="center"/>
      <protection hidden="1"/>
    </xf>
    <xf numFmtId="0" fontId="0" fillId="7" borderId="0" xfId="0" applyFill="1" applyBorder="1" applyAlignment="1">
      <alignment wrapText="1"/>
    </xf>
    <xf numFmtId="44" fontId="2" fillId="7" borderId="0" xfId="2" applyFont="1" applyFill="1" applyBorder="1" applyAlignment="1" applyProtection="1">
      <alignment horizontal="center"/>
      <protection hidden="1"/>
    </xf>
    <xf numFmtId="175" fontId="2" fillId="7" borderId="0" xfId="0" applyNumberFormat="1" applyFont="1" applyFill="1" applyAlignment="1" applyProtection="1">
      <alignment horizontal="left" wrapText="1"/>
      <protection hidden="1"/>
    </xf>
    <xf numFmtId="175" fontId="0" fillId="7" borderId="0" xfId="0" applyNumberFormat="1" applyFill="1" applyAlignment="1" applyProtection="1">
      <alignment horizontal="left" wrapText="1"/>
      <protection hidden="1"/>
    </xf>
    <xf numFmtId="0" fontId="0" fillId="7" borderId="0" xfId="0" applyFill="1" applyAlignment="1">
      <alignment vertical="top"/>
    </xf>
    <xf numFmtId="171" fontId="2" fillId="7" borderId="0" xfId="0" applyNumberFormat="1" applyFont="1" applyFill="1" applyBorder="1" applyAlignment="1" applyProtection="1">
      <alignment horizontal="left"/>
      <protection hidden="1"/>
    </xf>
    <xf numFmtId="0" fontId="0" fillId="7" borderId="0" xfId="0" applyFill="1" applyBorder="1" applyAlignment="1" applyProtection="1">
      <alignment horizontal="center" vertical="center"/>
      <protection hidden="1"/>
    </xf>
    <xf numFmtId="0" fontId="0" fillId="7" borderId="0" xfId="0" applyFill="1" applyAlignment="1" applyProtection="1">
      <alignment vertical="top"/>
      <protection hidden="1"/>
    </xf>
    <xf numFmtId="14" fontId="0" fillId="7" borderId="0" xfId="0" applyNumberFormat="1" applyFill="1" applyAlignment="1" applyProtection="1">
      <alignment vertical="top"/>
      <protection hidden="1"/>
    </xf>
    <xf numFmtId="166" fontId="0" fillId="7" borderId="0" xfId="0" applyNumberFormat="1" applyFill="1" applyBorder="1" applyAlignment="1" applyProtection="1">
      <alignment horizontal="center" vertical="center"/>
      <protection hidden="1"/>
    </xf>
    <xf numFmtId="0" fontId="2" fillId="7" borderId="0" xfId="0" applyFont="1" applyFill="1" applyBorder="1" applyAlignment="1" applyProtection="1">
      <alignment horizontal="right"/>
      <protection hidden="1"/>
    </xf>
    <xf numFmtId="185" fontId="2" fillId="7" borderId="5" xfId="2" applyNumberFormat="1" applyFont="1" applyFill="1" applyBorder="1" applyAlignment="1" applyProtection="1">
      <alignment horizontal="center" wrapText="1"/>
      <protection hidden="1"/>
    </xf>
    <xf numFmtId="0" fontId="0" fillId="7" borderId="0" xfId="0" applyFill="1" applyAlignment="1" applyProtection="1">
      <alignment horizontal="center" wrapText="1"/>
      <protection hidden="1"/>
    </xf>
    <xf numFmtId="186" fontId="2" fillId="7" borderId="5" xfId="2" applyNumberFormat="1" applyFont="1" applyFill="1" applyBorder="1" applyAlignment="1" applyProtection="1">
      <alignment horizontal="center" wrapText="1"/>
      <protection hidden="1"/>
    </xf>
    <xf numFmtId="0" fontId="0" fillId="7" borderId="0" xfId="0" applyFill="1" applyAlignment="1" applyProtection="1">
      <alignment horizontal="right" vertical="top" wrapText="1"/>
      <protection hidden="1"/>
    </xf>
    <xf numFmtId="9" fontId="2" fillId="7" borderId="5" xfId="0" applyNumberFormat="1" applyFont="1" applyFill="1" applyBorder="1" applyAlignment="1" applyProtection="1">
      <alignment horizontal="center" vertical="top" wrapText="1"/>
      <protection hidden="1"/>
    </xf>
    <xf numFmtId="0" fontId="2" fillId="7" borderId="0" xfId="0" applyFont="1" applyFill="1" applyBorder="1" applyAlignment="1">
      <alignment vertical="top" wrapText="1"/>
    </xf>
    <xf numFmtId="0" fontId="0" fillId="7" borderId="0" xfId="0" applyFill="1" applyAlignment="1">
      <alignment vertical="top" wrapText="1"/>
    </xf>
    <xf numFmtId="1" fontId="2" fillId="7" borderId="0" xfId="0" applyNumberFormat="1" applyFont="1" applyFill="1" applyBorder="1" applyAlignment="1" applyProtection="1">
      <alignment horizontal="center" vertical="center"/>
      <protection hidden="1"/>
    </xf>
    <xf numFmtId="1" fontId="2" fillId="7" borderId="0" xfId="0" applyNumberFormat="1" applyFont="1" applyFill="1" applyBorder="1" applyAlignment="1" applyProtection="1">
      <alignment horizontal="center"/>
      <protection hidden="1"/>
    </xf>
    <xf numFmtId="0" fontId="0" fillId="7" borderId="0" xfId="0" applyNumberFormat="1" applyFill="1" applyBorder="1" applyAlignment="1" applyProtection="1">
      <alignment horizontal="left" vertical="center"/>
      <protection hidden="1"/>
    </xf>
    <xf numFmtId="0" fontId="0" fillId="7" borderId="0" xfId="0" applyFill="1" applyBorder="1" applyAlignment="1"/>
    <xf numFmtId="0" fontId="0" fillId="7" borderId="0" xfId="0" applyFill="1" applyBorder="1" applyAlignment="1" applyProtection="1">
      <alignment horizontal="right"/>
      <protection hidden="1"/>
    </xf>
    <xf numFmtId="0" fontId="0" fillId="7" borderId="0" xfId="0" applyNumberFormat="1" applyFill="1" applyBorder="1" applyAlignment="1" applyProtection="1">
      <alignment horizontal="right"/>
      <protection hidden="1"/>
    </xf>
    <xf numFmtId="0" fontId="0" fillId="7" borderId="0" xfId="0" applyNumberFormat="1" applyFill="1" applyBorder="1" applyAlignment="1" applyProtection="1">
      <alignment horizontal="center" vertical="center"/>
      <protection hidden="1"/>
    </xf>
    <xf numFmtId="0" fontId="2" fillId="7" borderId="0" xfId="0" applyFont="1" applyFill="1" applyBorder="1" applyAlignment="1" applyProtection="1">
      <alignment horizontal="right" wrapText="1"/>
      <protection hidden="1"/>
    </xf>
    <xf numFmtId="0" fontId="2" fillId="7" borderId="0" xfId="0" applyFont="1" applyFill="1" applyBorder="1" applyAlignment="1" applyProtection="1">
      <protection hidden="1"/>
    </xf>
    <xf numFmtId="0" fontId="0" fillId="7" borderId="0" xfId="0" applyFill="1" applyBorder="1" applyAlignment="1">
      <alignment vertical="top" wrapText="1"/>
    </xf>
    <xf numFmtId="0" fontId="1" fillId="7" borderId="0" xfId="0" applyFont="1" applyFill="1" applyBorder="1" applyProtection="1">
      <protection hidden="1"/>
    </xf>
    <xf numFmtId="0" fontId="37" fillId="2" borderId="0" xfId="0" applyFont="1" applyFill="1" applyBorder="1" applyAlignment="1" applyProtection="1">
      <alignment horizontal="center" vertical="center"/>
      <protection hidden="1"/>
    </xf>
    <xf numFmtId="0" fontId="4" fillId="2" borderId="0" xfId="0" applyFont="1" applyFill="1" applyAlignment="1" applyProtection="1">
      <protection hidden="1"/>
    </xf>
    <xf numFmtId="0" fontId="0" fillId="2" borderId="0" xfId="0" applyFill="1" applyAlignment="1"/>
    <xf numFmtId="0" fontId="2" fillId="2" borderId="0" xfId="0" applyFont="1" applyFill="1" applyAlignment="1" applyProtection="1">
      <alignment horizontal="right"/>
      <protection hidden="1"/>
    </xf>
    <xf numFmtId="0" fontId="14" fillId="2" borderId="0" xfId="0" applyFont="1" applyFill="1" applyBorder="1" applyAlignment="1" applyProtection="1">
      <protection hidden="1"/>
    </xf>
    <xf numFmtId="0" fontId="4" fillId="2" borderId="5" xfId="0" applyFont="1" applyFill="1" applyBorder="1" applyAlignment="1" applyProtection="1">
      <protection hidden="1"/>
    </xf>
    <xf numFmtId="0" fontId="20" fillId="6" borderId="26" xfId="0" applyFont="1" applyFill="1" applyBorder="1" applyAlignment="1" applyProtection="1">
      <alignment horizontal="center"/>
      <protection locked="0"/>
    </xf>
    <xf numFmtId="0" fontId="20" fillId="7" borderId="26" xfId="0" applyFont="1" applyFill="1" applyBorder="1" applyAlignment="1" applyProtection="1">
      <alignment horizontal="center"/>
      <protection hidden="1"/>
    </xf>
    <xf numFmtId="0" fontId="1" fillId="0" borderId="0" xfId="0" applyFont="1" applyFill="1" applyAlignment="1" applyProtection="1">
      <alignment horizontal="center"/>
      <protection hidden="1"/>
    </xf>
    <xf numFmtId="0" fontId="6" fillId="0" borderId="0" xfId="0" applyFont="1" applyFill="1" applyAlignment="1" applyProtection="1">
      <alignment horizontal="center"/>
      <protection hidden="1"/>
    </xf>
    <xf numFmtId="0" fontId="6" fillId="0" borderId="5" xfId="0" applyFont="1" applyFill="1" applyBorder="1" applyAlignment="1" applyProtection="1">
      <alignment horizontal="center"/>
      <protection hidden="1"/>
    </xf>
    <xf numFmtId="0" fontId="6" fillId="0" borderId="27" xfId="0" applyFont="1" applyFill="1" applyBorder="1" applyAlignment="1" applyProtection="1">
      <alignment horizontal="center" vertical="top"/>
      <protection hidden="1"/>
    </xf>
    <xf numFmtId="0" fontId="7" fillId="0" borderId="0" xfId="0" applyFont="1" applyFill="1" applyAlignment="1" applyProtection="1">
      <alignment horizontal="center"/>
      <protection hidden="1"/>
    </xf>
    <xf numFmtId="0" fontId="4" fillId="7" borderId="3" xfId="0" applyFont="1" applyFill="1" applyBorder="1" applyProtection="1">
      <protection hidden="1"/>
    </xf>
    <xf numFmtId="0" fontId="4" fillId="2" borderId="0" xfId="0" applyFont="1" applyFill="1" applyAlignment="1" applyProtection="1">
      <alignment horizontal="left" vertical="top" wrapText="1"/>
      <protection hidden="1"/>
    </xf>
    <xf numFmtId="0" fontId="1" fillId="7" borderId="0" xfId="0" applyFont="1" applyFill="1" applyBorder="1" applyAlignment="1" applyProtection="1">
      <alignment horizontal="center"/>
      <protection hidden="1"/>
    </xf>
    <xf numFmtId="0" fontId="44" fillId="2" borderId="0" xfId="0" applyFont="1" applyFill="1" applyAlignment="1">
      <alignment horizontal="right" vertical="center"/>
    </xf>
    <xf numFmtId="0" fontId="0" fillId="7" borderId="0" xfId="0" applyFill="1" applyAlignment="1">
      <alignment vertical="top"/>
    </xf>
    <xf numFmtId="0" fontId="0" fillId="0" borderId="0" xfId="0" applyAlignment="1">
      <alignment vertical="top"/>
    </xf>
    <xf numFmtId="49" fontId="4" fillId="2" borderId="0" xfId="0" applyNumberFormat="1" applyFont="1" applyFill="1" applyAlignment="1" applyProtection="1">
      <alignment vertical="top"/>
      <protection hidden="1"/>
    </xf>
    <xf numFmtId="0" fontId="0" fillId="0" borderId="0" xfId="0"/>
    <xf numFmtId="0" fontId="4" fillId="2" borderId="0" xfId="0" applyFont="1" applyFill="1" applyAlignment="1" applyProtection="1">
      <alignment vertical="center"/>
      <protection hidden="1"/>
    </xf>
    <xf numFmtId="0" fontId="0" fillId="7" borderId="0" xfId="0" applyFill="1" applyAlignment="1">
      <alignment wrapText="1"/>
    </xf>
    <xf numFmtId="0" fontId="0" fillId="7" borderId="0" xfId="0" applyFill="1" applyAlignment="1" applyProtection="1">
      <alignment wrapText="1"/>
      <protection hidden="1"/>
    </xf>
    <xf numFmtId="0" fontId="0" fillId="0" borderId="0" xfId="0"/>
    <xf numFmtId="0" fontId="2" fillId="3" borderId="5" xfId="0" applyFont="1" applyFill="1" applyBorder="1" applyAlignment="1" applyProtection="1">
      <alignment horizontal="center"/>
      <protection locked="0" hidden="1"/>
    </xf>
    <xf numFmtId="0" fontId="2" fillId="3" borderId="29" xfId="0" applyFont="1" applyFill="1" applyBorder="1" applyAlignment="1" applyProtection="1">
      <alignment horizontal="center"/>
      <protection locked="0" hidden="1"/>
    </xf>
    <xf numFmtId="49" fontId="1" fillId="2" borderId="0" xfId="0" applyNumberFormat="1" applyFont="1" applyFill="1" applyAlignment="1" applyProtection="1">
      <alignment vertical="top"/>
      <protection hidden="1"/>
    </xf>
    <xf numFmtId="0" fontId="2" fillId="2" borderId="4" xfId="0" applyFont="1" applyFill="1" applyBorder="1" applyProtection="1">
      <protection hidden="1"/>
    </xf>
    <xf numFmtId="0" fontId="2" fillId="8" borderId="26" xfId="0" applyFont="1" applyFill="1" applyBorder="1" applyAlignment="1" applyProtection="1">
      <alignment horizontal="center"/>
      <protection locked="0"/>
    </xf>
    <xf numFmtId="0" fontId="4" fillId="7" borderId="0" xfId="0" applyFont="1" applyFill="1" applyBorder="1" applyProtection="1">
      <protection hidden="1"/>
    </xf>
    <xf numFmtId="0" fontId="2" fillId="7" borderId="0" xfId="0" applyFont="1" applyFill="1" applyBorder="1" applyProtection="1">
      <protection hidden="1"/>
    </xf>
    <xf numFmtId="0" fontId="2" fillId="7" borderId="2" xfId="0" applyFont="1" applyFill="1" applyBorder="1" applyProtection="1">
      <protection hidden="1"/>
    </xf>
    <xf numFmtId="0" fontId="2" fillId="7" borderId="26" xfId="0" applyFont="1" applyFill="1" applyBorder="1" applyAlignment="1" applyProtection="1">
      <alignment horizontal="center"/>
      <protection hidden="1"/>
    </xf>
    <xf numFmtId="0" fontId="0" fillId="7" borderId="3" xfId="0" applyFill="1" applyBorder="1" applyAlignment="1"/>
    <xf numFmtId="0" fontId="0" fillId="7" borderId="0" xfId="0" applyFill="1" applyBorder="1" applyAlignment="1"/>
    <xf numFmtId="0" fontId="0" fillId="0" borderId="0" xfId="0"/>
    <xf numFmtId="0" fontId="0" fillId="7" borderId="1" xfId="0" applyFill="1" applyBorder="1" applyAlignment="1"/>
    <xf numFmtId="0" fontId="4" fillId="7" borderId="5" xfId="0" applyFont="1" applyFill="1" applyBorder="1" applyProtection="1">
      <protection hidden="1"/>
    </xf>
    <xf numFmtId="0" fontId="4" fillId="0"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7" borderId="0" xfId="0" applyFont="1" applyFill="1" applyBorder="1" applyAlignment="1" applyProtection="1">
      <alignment vertical="center"/>
      <protection hidden="1"/>
    </xf>
    <xf numFmtId="0" fontId="4" fillId="7" borderId="3" xfId="0" applyFont="1" applyFill="1" applyBorder="1" applyAlignment="1" applyProtection="1">
      <alignment vertical="center"/>
      <protection hidden="1"/>
    </xf>
    <xf numFmtId="188" fontId="2" fillId="7" borderId="0" xfId="0" applyNumberFormat="1" applyFont="1" applyFill="1" applyBorder="1" applyAlignment="1">
      <alignment horizontal="center" wrapText="1"/>
    </xf>
    <xf numFmtId="0" fontId="0" fillId="7" borderId="0" xfId="0" applyFill="1" applyBorder="1" applyAlignment="1">
      <alignment horizontal="center" wrapText="1"/>
    </xf>
    <xf numFmtId="0" fontId="0" fillId="7" borderId="0" xfId="0" applyFill="1" applyAlignment="1">
      <alignment vertical="top" wrapText="1"/>
    </xf>
    <xf numFmtId="0" fontId="0" fillId="7" borderId="0" xfId="0" applyFill="1" applyAlignment="1" applyProtection="1">
      <alignment vertical="top" wrapText="1"/>
      <protection hidden="1"/>
    </xf>
    <xf numFmtId="189" fontId="2" fillId="0" borderId="5" xfId="0" applyNumberFormat="1" applyFont="1" applyBorder="1" applyAlignment="1">
      <alignment horizontal="center"/>
    </xf>
    <xf numFmtId="0" fontId="0" fillId="0" borderId="0" xfId="0" applyAlignment="1">
      <alignment vertical="top"/>
    </xf>
    <xf numFmtId="0" fontId="0" fillId="0" borderId="0" xfId="0"/>
    <xf numFmtId="1" fontId="2" fillId="0" borderId="26" xfId="0" applyNumberFormat="1" applyFont="1" applyFill="1" applyBorder="1" applyAlignment="1" applyProtection="1">
      <alignment horizontal="center"/>
      <protection locked="0"/>
    </xf>
    <xf numFmtId="0" fontId="45" fillId="7" borderId="3" xfId="0" applyFont="1" applyFill="1" applyBorder="1" applyAlignment="1">
      <alignment vertical="center"/>
    </xf>
    <xf numFmtId="0" fontId="0" fillId="7" borderId="0" xfId="0" applyFill="1" applyAlignment="1"/>
    <xf numFmtId="0" fontId="0" fillId="2" borderId="0" xfId="0" applyFill="1" applyAlignment="1"/>
    <xf numFmtId="0" fontId="4" fillId="2" borderId="0" xfId="0" applyFont="1" applyFill="1" applyAlignment="1" applyProtection="1">
      <alignment vertical="center"/>
      <protection hidden="1"/>
    </xf>
    <xf numFmtId="0" fontId="0" fillId="0" borderId="0" xfId="0" applyAlignment="1">
      <alignment vertical="top"/>
    </xf>
    <xf numFmtId="0" fontId="0" fillId="7" borderId="0" xfId="0" applyFill="1" applyAlignment="1" applyProtection="1">
      <alignment vertical="top" wrapText="1"/>
      <protection hidden="1"/>
    </xf>
    <xf numFmtId="0" fontId="0" fillId="7" borderId="0" xfId="0" applyFill="1" applyAlignment="1">
      <alignment vertical="top" wrapText="1"/>
    </xf>
    <xf numFmtId="0" fontId="4" fillId="2" borderId="0" xfId="0" applyFont="1" applyFill="1" applyAlignment="1" applyProtection="1">
      <alignment vertical="top"/>
      <protection hidden="1"/>
    </xf>
    <xf numFmtId="0" fontId="2" fillId="2" borderId="0" xfId="0" applyFont="1" applyFill="1" applyAlignment="1" applyProtection="1">
      <alignment vertical="top"/>
      <protection hidden="1"/>
    </xf>
    <xf numFmtId="0" fontId="0" fillId="2" borderId="0" xfId="0" applyFill="1" applyProtection="1">
      <protection hidden="1"/>
    </xf>
    <xf numFmtId="49" fontId="4" fillId="2" borderId="0" xfId="0" applyNumberFormat="1" applyFont="1" applyFill="1" applyAlignment="1" applyProtection="1">
      <alignment vertical="top"/>
      <protection hidden="1"/>
    </xf>
    <xf numFmtId="44" fontId="2" fillId="2" borderId="5" xfId="0" applyNumberFormat="1" applyFont="1" applyFill="1" applyBorder="1" applyAlignment="1" applyProtection="1">
      <alignment vertical="top"/>
      <protection hidden="1"/>
    </xf>
    <xf numFmtId="43" fontId="2" fillId="2" borderId="0" xfId="0" applyNumberFormat="1" applyFont="1" applyFill="1" applyAlignment="1" applyProtection="1">
      <alignment horizontal="right" vertical="top"/>
      <protection hidden="1"/>
    </xf>
    <xf numFmtId="44" fontId="2" fillId="2" borderId="0" xfId="0" applyNumberFormat="1" applyFont="1" applyFill="1" applyAlignment="1" applyProtection="1">
      <alignment horizontal="right" vertical="top"/>
      <protection hidden="1"/>
    </xf>
    <xf numFmtId="0" fontId="4" fillId="2" borderId="0" xfId="0" applyFont="1" applyFill="1" applyBorder="1" applyAlignment="1" applyProtection="1">
      <alignment vertical="top" wrapText="1"/>
      <protection hidden="1"/>
    </xf>
    <xf numFmtId="44" fontId="2" fillId="2" borderId="39" xfId="0" applyNumberFormat="1" applyFont="1" applyFill="1" applyBorder="1" applyAlignment="1" applyProtection="1">
      <alignment vertical="top"/>
      <protection hidden="1"/>
    </xf>
    <xf numFmtId="0" fontId="4" fillId="2" borderId="0" xfId="0" applyFont="1" applyFill="1" applyBorder="1" applyAlignment="1" applyProtection="1">
      <alignment vertical="top"/>
      <protection hidden="1"/>
    </xf>
    <xf numFmtId="0" fontId="0" fillId="0" borderId="0" xfId="0"/>
    <xf numFmtId="49" fontId="1" fillId="7" borderId="0" xfId="0" applyNumberFormat="1" applyFont="1" applyFill="1" applyAlignment="1" applyProtection="1">
      <alignment vertical="top"/>
      <protection hidden="1"/>
    </xf>
    <xf numFmtId="49" fontId="0" fillId="7" borderId="0" xfId="0" applyNumberFormat="1" applyFill="1" applyAlignment="1" applyProtection="1">
      <alignment vertical="top"/>
      <protection hidden="1"/>
    </xf>
    <xf numFmtId="49" fontId="1" fillId="7" borderId="0" xfId="0" applyNumberFormat="1" applyFont="1" applyFill="1" applyAlignment="1" applyProtection="1">
      <alignment vertical="top"/>
      <protection hidden="1"/>
    </xf>
    <xf numFmtId="0" fontId="0" fillId="2" borderId="0" xfId="0" applyFill="1" applyAlignment="1" applyProtection="1">
      <protection hidden="1"/>
    </xf>
    <xf numFmtId="0" fontId="0" fillId="0" borderId="0" xfId="0" applyAlignment="1">
      <alignment vertical="top"/>
    </xf>
    <xf numFmtId="0" fontId="4" fillId="2" borderId="0" xfId="0" applyFont="1" applyFill="1" applyAlignment="1" applyProtection="1">
      <alignment vertical="top" wrapText="1"/>
      <protection hidden="1"/>
    </xf>
    <xf numFmtId="0" fontId="0" fillId="2" borderId="0" xfId="0" applyFill="1" applyAlignment="1" applyProtection="1">
      <alignment vertical="top" wrapText="1"/>
      <protection hidden="1"/>
    </xf>
    <xf numFmtId="0" fontId="4" fillId="2" borderId="0" xfId="0" applyFont="1" applyFill="1" applyAlignment="1" applyProtection="1">
      <alignment vertical="top"/>
      <protection hidden="1"/>
    </xf>
    <xf numFmtId="168" fontId="2" fillId="2" borderId="0" xfId="0" applyNumberFormat="1" applyFont="1" applyFill="1" applyBorder="1" applyAlignment="1" applyProtection="1">
      <alignment horizontal="center" vertical="top" wrapText="1"/>
      <protection hidden="1"/>
    </xf>
    <xf numFmtId="49" fontId="4" fillId="2" borderId="0" xfId="0" applyNumberFormat="1" applyFont="1" applyFill="1" applyAlignment="1" applyProtection="1">
      <alignment vertical="top"/>
      <protection hidden="1"/>
    </xf>
    <xf numFmtId="0" fontId="0" fillId="0" borderId="0" xfId="0"/>
    <xf numFmtId="44" fontId="2" fillId="2" borderId="0" xfId="0" applyNumberFormat="1" applyFont="1" applyFill="1" applyBorder="1" applyAlignment="1" applyProtection="1">
      <alignment vertical="top"/>
      <protection hidden="1"/>
    </xf>
    <xf numFmtId="44" fontId="0" fillId="2" borderId="0" xfId="0" applyNumberFormat="1" applyFill="1" applyAlignment="1" applyProtection="1">
      <alignment horizontal="left" vertical="top"/>
      <protection hidden="1"/>
    </xf>
    <xf numFmtId="44" fontId="2" fillId="2" borderId="0" xfId="0" applyNumberFormat="1" applyFont="1" applyFill="1" applyBorder="1" applyAlignment="1" applyProtection="1">
      <alignment horizontal="right" vertical="top"/>
      <protection hidden="1"/>
    </xf>
    <xf numFmtId="43" fontId="2" fillId="2" borderId="0" xfId="0" applyNumberFormat="1" applyFont="1" applyFill="1" applyBorder="1" applyAlignment="1" applyProtection="1">
      <alignment horizontal="right" vertical="top"/>
      <protection hidden="1"/>
    </xf>
    <xf numFmtId="0" fontId="11" fillId="7" borderId="2" xfId="0" applyFont="1" applyFill="1" applyBorder="1" applyAlignment="1" applyProtection="1">
      <protection hidden="1"/>
    </xf>
    <xf numFmtId="0" fontId="11" fillId="7" borderId="2" xfId="0" applyFont="1" applyFill="1" applyBorder="1" applyAlignment="1"/>
    <xf numFmtId="0" fontId="2" fillId="0" borderId="0" xfId="0" applyFont="1" applyFill="1" applyProtection="1">
      <protection hidden="1"/>
    </xf>
    <xf numFmtId="0" fontId="11" fillId="3" borderId="26" xfId="0" applyFont="1" applyFill="1" applyBorder="1" applyAlignment="1" applyProtection="1">
      <alignment horizontal="center" vertical="center"/>
      <protection locked="0"/>
    </xf>
    <xf numFmtId="0" fontId="0" fillId="7" borderId="0" xfId="0" applyFill="1" applyAlignment="1"/>
    <xf numFmtId="0" fontId="0" fillId="7" borderId="0" xfId="0" applyFill="1" applyAlignment="1">
      <alignment wrapText="1"/>
    </xf>
    <xf numFmtId="0" fontId="0" fillId="7" borderId="0" xfId="0" applyFill="1" applyAlignment="1" applyProtection="1">
      <protection hidden="1"/>
    </xf>
    <xf numFmtId="0" fontId="0" fillId="7" borderId="0" xfId="0" applyFill="1" applyBorder="1" applyAlignment="1">
      <alignment vertical="top" wrapText="1"/>
    </xf>
    <xf numFmtId="0" fontId="0" fillId="7" borderId="0" xfId="0" applyFill="1" applyAlignment="1" applyProtection="1">
      <alignment vertical="top"/>
      <protection hidden="1"/>
    </xf>
    <xf numFmtId="0" fontId="0" fillId="2" borderId="5" xfId="0" applyFill="1" applyBorder="1" applyAlignment="1" applyProtection="1">
      <alignment horizontal="left"/>
      <protection hidden="1"/>
    </xf>
    <xf numFmtId="0" fontId="0" fillId="2" borderId="0" xfId="0" applyFill="1" applyBorder="1" applyAlignment="1" applyProtection="1">
      <alignment vertical="top"/>
      <protection hidden="1"/>
    </xf>
    <xf numFmtId="189" fontId="0" fillId="2" borderId="0" xfId="0" applyNumberFormat="1" applyFill="1" applyBorder="1" applyAlignment="1" applyProtection="1">
      <alignment horizontal="center"/>
      <protection hidden="1"/>
    </xf>
    <xf numFmtId="189" fontId="1" fillId="2" borderId="0" xfId="0" applyNumberFormat="1" applyFont="1" applyFill="1" applyBorder="1" applyAlignment="1" applyProtection="1">
      <alignment horizontal="left"/>
      <protection hidden="1"/>
    </xf>
    <xf numFmtId="0" fontId="4" fillId="7" borderId="0" xfId="0" applyFont="1" applyFill="1" applyBorder="1" applyAlignment="1" applyProtection="1">
      <alignment vertical="top"/>
      <protection hidden="1"/>
    </xf>
    <xf numFmtId="49" fontId="4" fillId="7" borderId="0" xfId="0" applyNumberFormat="1" applyFont="1" applyFill="1" applyAlignment="1" applyProtection="1">
      <alignment vertical="top"/>
      <protection hidden="1"/>
    </xf>
    <xf numFmtId="0" fontId="4" fillId="7" borderId="0" xfId="0" applyFont="1" applyFill="1" applyAlignment="1" applyProtection="1">
      <alignment vertical="top"/>
      <protection hidden="1"/>
    </xf>
    <xf numFmtId="171" fontId="2" fillId="7" borderId="0" xfId="0" applyNumberFormat="1" applyFont="1" applyFill="1" applyBorder="1" applyAlignment="1" applyProtection="1">
      <alignment horizontal="left" vertical="top"/>
      <protection hidden="1"/>
    </xf>
    <xf numFmtId="0" fontId="0" fillId="0" borderId="0" xfId="0" applyBorder="1" applyAlignment="1">
      <alignment vertical="top"/>
    </xf>
    <xf numFmtId="0" fontId="0" fillId="7" borderId="0" xfId="0" applyFill="1" applyAlignment="1" applyProtection="1">
      <protection locked="0"/>
    </xf>
    <xf numFmtId="0" fontId="45" fillId="2" borderId="0" xfId="0" applyFont="1" applyFill="1" applyAlignment="1" applyProtection="1">
      <alignment horizontal="right"/>
      <protection hidden="1"/>
    </xf>
    <xf numFmtId="174" fontId="2" fillId="2" borderId="5" xfId="0" applyNumberFormat="1" applyFont="1" applyFill="1" applyBorder="1" applyAlignment="1" applyProtection="1">
      <alignment horizontal="center"/>
      <protection hidden="1"/>
    </xf>
    <xf numFmtId="173" fontId="2" fillId="2" borderId="5" xfId="0" applyNumberFormat="1" applyFont="1" applyFill="1" applyBorder="1" applyAlignment="1" applyProtection="1">
      <alignment horizontal="center"/>
      <protection hidden="1"/>
    </xf>
    <xf numFmtId="173" fontId="2" fillId="2" borderId="1" xfId="0" applyNumberFormat="1" applyFont="1" applyFill="1" applyBorder="1" applyAlignment="1" applyProtection="1">
      <alignment horizontal="center"/>
      <protection hidden="1"/>
    </xf>
    <xf numFmtId="173" fontId="2" fillId="0" borderId="3" xfId="0" applyNumberFormat="1" applyFont="1" applyFill="1" applyBorder="1" applyAlignment="1" applyProtection="1">
      <alignment horizontal="center"/>
      <protection hidden="1"/>
    </xf>
    <xf numFmtId="0" fontId="0" fillId="0" borderId="0" xfId="0" applyProtection="1">
      <protection locked="0"/>
    </xf>
    <xf numFmtId="0" fontId="14" fillId="2" borderId="0" xfId="0" applyFont="1" applyFill="1" applyProtection="1">
      <protection hidden="1"/>
    </xf>
    <xf numFmtId="49" fontId="14" fillId="2" borderId="0" xfId="0" applyNumberFormat="1" applyFont="1" applyFill="1" applyAlignment="1" applyProtection="1">
      <alignment vertical="top"/>
      <protection hidden="1"/>
    </xf>
    <xf numFmtId="0" fontId="4" fillId="2" borderId="3" xfId="0" applyFont="1" applyFill="1" applyBorder="1" applyAlignment="1" applyProtection="1">
      <protection hidden="1"/>
    </xf>
    <xf numFmtId="0" fontId="1" fillId="7" borderId="0" xfId="0" applyFont="1" applyFill="1" applyBorder="1" applyAlignment="1" applyProtection="1">
      <protection hidden="1"/>
    </xf>
    <xf numFmtId="0" fontId="1" fillId="2" borderId="0" xfId="0" applyFont="1" applyFill="1" applyAlignment="1" applyProtection="1">
      <protection hidden="1"/>
    </xf>
    <xf numFmtId="0" fontId="0" fillId="7" borderId="0" xfId="0" applyFill="1" applyAlignment="1"/>
    <xf numFmtId="0" fontId="0" fillId="7" borderId="0" xfId="0" applyFill="1" applyAlignment="1" applyProtection="1">
      <protection hidden="1"/>
    </xf>
    <xf numFmtId="0" fontId="4" fillId="2" borderId="0" xfId="0" applyFont="1" applyFill="1" applyBorder="1" applyAlignment="1" applyProtection="1">
      <alignment vertical="top"/>
      <protection hidden="1"/>
    </xf>
    <xf numFmtId="0" fontId="0" fillId="7" borderId="0" xfId="0" applyFill="1" applyAlignment="1">
      <alignment vertical="top"/>
    </xf>
    <xf numFmtId="0" fontId="2" fillId="2" borderId="2" xfId="0" applyFont="1" applyFill="1" applyBorder="1" applyAlignment="1" applyProtection="1">
      <alignment horizontal="left" vertical="center"/>
      <protection hidden="1"/>
    </xf>
    <xf numFmtId="0" fontId="4" fillId="2" borderId="45" xfId="0" applyFont="1" applyFill="1" applyBorder="1" applyProtection="1">
      <protection hidden="1"/>
    </xf>
    <xf numFmtId="0" fontId="25" fillId="2" borderId="45"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 fillId="2" borderId="0" xfId="0" applyFont="1" applyFill="1" applyProtection="1">
      <protection hidden="1"/>
    </xf>
    <xf numFmtId="0" fontId="1" fillId="2" borderId="0" xfId="0" applyFont="1" applyFill="1" applyBorder="1" applyAlignment="1" applyProtection="1">
      <alignment horizontal="left"/>
      <protection hidden="1"/>
    </xf>
    <xf numFmtId="0" fontId="1" fillId="0" borderId="0" xfId="0" applyFont="1" applyAlignment="1"/>
    <xf numFmtId="0" fontId="1" fillId="2" borderId="0" xfId="0" applyFont="1" applyFill="1" applyAlignment="1"/>
    <xf numFmtId="0" fontId="1" fillId="0" borderId="0" xfId="0" applyFont="1" applyFill="1" applyProtection="1">
      <protection hidden="1"/>
    </xf>
    <xf numFmtId="43" fontId="1" fillId="2" borderId="0" xfId="0" applyNumberFormat="1" applyFont="1" applyFill="1" applyBorder="1" applyAlignment="1"/>
    <xf numFmtId="43" fontId="1" fillId="2" borderId="0" xfId="2" applyNumberFormat="1" applyFont="1" applyFill="1" applyBorder="1" applyAlignment="1" applyProtection="1">
      <protection hidden="1"/>
    </xf>
    <xf numFmtId="0" fontId="1" fillId="7" borderId="3" xfId="0" applyFont="1" applyFill="1" applyBorder="1" applyProtection="1">
      <protection hidden="1"/>
    </xf>
    <xf numFmtId="0" fontId="4" fillId="7" borderId="2" xfId="0" applyFont="1" applyFill="1" applyBorder="1" applyProtection="1">
      <protection hidden="1"/>
    </xf>
    <xf numFmtId="0" fontId="1" fillId="7" borderId="2" xfId="0" applyFont="1" applyFill="1" applyBorder="1" applyAlignment="1" applyProtection="1">
      <alignment horizontal="right"/>
      <protection hidden="1"/>
    </xf>
    <xf numFmtId="0" fontId="1" fillId="7" borderId="0" xfId="0" applyFont="1" applyFill="1" applyBorder="1" applyAlignment="1" applyProtection="1">
      <alignment horizontal="right"/>
      <protection hidden="1"/>
    </xf>
    <xf numFmtId="0" fontId="23" fillId="7" borderId="2" xfId="0" applyFont="1" applyFill="1" applyBorder="1" applyAlignment="1" applyProtection="1">
      <alignment horizontal="right"/>
      <protection hidden="1"/>
    </xf>
    <xf numFmtId="0" fontId="23" fillId="7" borderId="0" xfId="0" applyFont="1" applyFill="1" applyBorder="1" applyAlignment="1" applyProtection="1">
      <alignment horizontal="right"/>
      <protection hidden="1"/>
    </xf>
    <xf numFmtId="0" fontId="0" fillId="7" borderId="0" xfId="0" applyFill="1" applyAlignment="1">
      <alignment vertical="top"/>
    </xf>
    <xf numFmtId="0" fontId="0" fillId="7" borderId="0" xfId="0" applyFill="1" applyAlignment="1"/>
    <xf numFmtId="0" fontId="4" fillId="2" borderId="0" xfId="0" applyFont="1" applyFill="1" applyAlignment="1" applyProtection="1">
      <alignment vertical="top"/>
      <protection hidden="1"/>
    </xf>
    <xf numFmtId="0" fontId="0" fillId="0" borderId="0" xfId="0" applyAlignment="1"/>
    <xf numFmtId="0" fontId="2" fillId="2" borderId="0" xfId="0" applyFont="1" applyFill="1" applyAlignment="1" applyProtection="1">
      <alignment horizontal="right"/>
      <protection hidden="1"/>
    </xf>
    <xf numFmtId="0" fontId="1" fillId="2" borderId="2" xfId="0" applyFont="1" applyFill="1" applyBorder="1" applyProtection="1">
      <protection hidden="1"/>
    </xf>
    <xf numFmtId="170" fontId="0" fillId="2" borderId="0" xfId="0" applyNumberFormat="1" applyFill="1" applyAlignment="1"/>
    <xf numFmtId="0" fontId="43" fillId="2" borderId="0" xfId="0" applyNumberFormat="1" applyFont="1" applyFill="1" applyAlignment="1" applyProtection="1">
      <alignment horizontal="left" vertical="top" wrapText="1"/>
      <protection locked="0"/>
    </xf>
    <xf numFmtId="0" fontId="15" fillId="2" borderId="0" xfId="0" applyFont="1" applyFill="1" applyAlignment="1" applyProtection="1">
      <alignment horizontal="right" vertical="center" wrapText="1"/>
      <protection hidden="1"/>
    </xf>
    <xf numFmtId="0" fontId="4" fillId="7" borderId="45" xfId="0" applyFont="1" applyFill="1" applyBorder="1" applyProtection="1">
      <protection hidden="1"/>
    </xf>
    <xf numFmtId="0" fontId="4" fillId="7" borderId="33" xfId="0" applyFont="1" applyFill="1" applyBorder="1" applyProtection="1">
      <protection hidden="1"/>
    </xf>
    <xf numFmtId="0" fontId="2" fillId="7" borderId="0" xfId="0" applyFont="1" applyFill="1" applyBorder="1" applyAlignment="1">
      <alignment horizontal="left"/>
    </xf>
    <xf numFmtId="0" fontId="0" fillId="7" borderId="0" xfId="0" applyFill="1" applyAlignment="1" applyProtection="1">
      <alignment horizontal="center"/>
      <protection hidden="1"/>
    </xf>
    <xf numFmtId="0" fontId="20" fillId="2" borderId="0" xfId="0" applyFont="1" applyFill="1" applyBorder="1" applyAlignment="1" applyProtection="1">
      <alignment horizontal="left"/>
      <protection hidden="1"/>
    </xf>
    <xf numFmtId="0" fontId="0" fillId="0" borderId="0" xfId="0" applyBorder="1" applyAlignment="1"/>
    <xf numFmtId="0" fontId="0" fillId="0" borderId="3" xfId="0" applyBorder="1" applyAlignment="1"/>
    <xf numFmtId="0" fontId="2" fillId="2" borderId="0" xfId="0" applyFont="1" applyFill="1" applyBorder="1" applyAlignment="1" applyProtection="1">
      <alignment horizontal="left"/>
      <protection hidden="1"/>
    </xf>
    <xf numFmtId="0" fontId="2" fillId="2" borderId="0" xfId="0" applyFont="1" applyFill="1" applyBorder="1" applyAlignment="1" applyProtection="1">
      <protection hidden="1"/>
    </xf>
    <xf numFmtId="0" fontId="0" fillId="2" borderId="5" xfId="0" applyFill="1" applyBorder="1" applyAlignment="1">
      <alignment horizontal="center" vertical="center" wrapText="1"/>
    </xf>
    <xf numFmtId="0" fontId="2" fillId="2" borderId="2" xfId="0" applyFont="1" applyFill="1" applyBorder="1" applyAlignment="1" applyProtection="1">
      <alignment horizontal="left"/>
      <protection hidden="1"/>
    </xf>
    <xf numFmtId="0" fontId="2" fillId="2" borderId="5" xfId="0" applyFont="1" applyFill="1" applyBorder="1" applyAlignment="1" applyProtection="1">
      <alignment horizontal="center"/>
      <protection hidden="1"/>
    </xf>
    <xf numFmtId="0" fontId="0" fillId="2" borderId="0" xfId="0" applyFill="1" applyBorder="1" applyAlignment="1"/>
    <xf numFmtId="0" fontId="4" fillId="2" borderId="0" xfId="0" applyFont="1" applyFill="1" applyBorder="1" applyAlignment="1" applyProtection="1">
      <protection hidden="1"/>
    </xf>
    <xf numFmtId="0" fontId="0" fillId="2" borderId="0" xfId="0" applyFill="1" applyBorder="1" applyAlignment="1" applyProtection="1">
      <protection hidden="1"/>
    </xf>
    <xf numFmtId="0" fontId="4" fillId="2" borderId="3" xfId="0" applyFont="1" applyFill="1" applyBorder="1" applyAlignment="1" applyProtection="1">
      <alignment vertical="center"/>
      <protection hidden="1"/>
    </xf>
    <xf numFmtId="0" fontId="2" fillId="2" borderId="0" xfId="0" applyFont="1" applyFill="1" applyBorder="1" applyAlignment="1" applyProtection="1">
      <alignment horizontal="center"/>
      <protection hidden="1"/>
    </xf>
    <xf numFmtId="0" fontId="2" fillId="2" borderId="2" xfId="0" applyFont="1" applyFill="1" applyBorder="1" applyAlignment="1" applyProtection="1">
      <protection hidden="1"/>
    </xf>
    <xf numFmtId="0" fontId="0" fillId="2" borderId="0" xfId="0" applyFill="1" applyBorder="1" applyAlignment="1" applyProtection="1">
      <alignment horizontal="right"/>
      <protection hidden="1"/>
    </xf>
    <xf numFmtId="0" fontId="0" fillId="7" borderId="0" xfId="0" applyFill="1" applyAlignment="1"/>
    <xf numFmtId="0" fontId="0" fillId="7" borderId="0" xfId="0" applyFill="1" applyBorder="1" applyAlignment="1"/>
    <xf numFmtId="0" fontId="45" fillId="7" borderId="0" xfId="0" applyFont="1" applyFill="1" applyBorder="1" applyAlignment="1" applyProtection="1">
      <alignment vertical="center"/>
      <protection hidden="1"/>
    </xf>
    <xf numFmtId="0" fontId="0" fillId="0" borderId="0" xfId="0"/>
    <xf numFmtId="0" fontId="0" fillId="7" borderId="0" xfId="0" applyFill="1" applyBorder="1" applyAlignment="1" applyProtection="1">
      <alignment wrapText="1"/>
      <protection hidden="1"/>
    </xf>
    <xf numFmtId="0" fontId="0" fillId="7" borderId="5" xfId="0" applyFill="1" applyBorder="1" applyAlignment="1"/>
    <xf numFmtId="0" fontId="0" fillId="7" borderId="0" xfId="0" applyFill="1" applyAlignment="1" applyProtection="1">
      <alignment vertical="top" wrapText="1"/>
      <protection hidden="1"/>
    </xf>
    <xf numFmtId="0" fontId="10" fillId="2" borderId="0" xfId="0" applyFont="1" applyFill="1" applyBorder="1" applyAlignment="1" applyProtection="1">
      <alignment horizontal="center"/>
      <protection hidden="1"/>
    </xf>
    <xf numFmtId="0" fontId="4" fillId="2" borderId="0" xfId="0" applyFont="1" applyFill="1" applyBorder="1" applyAlignment="1" applyProtection="1">
      <alignment vertical="top" wrapText="1"/>
      <protection hidden="1"/>
    </xf>
    <xf numFmtId="0" fontId="45" fillId="7" borderId="0" xfId="0" applyFont="1" applyFill="1" applyBorder="1" applyAlignment="1">
      <alignment vertical="center"/>
    </xf>
    <xf numFmtId="0" fontId="11" fillId="7" borderId="0" xfId="0" applyFont="1" applyFill="1" applyBorder="1" applyAlignment="1"/>
    <xf numFmtId="0" fontId="0" fillId="2" borderId="45" xfId="0" applyFill="1" applyBorder="1" applyAlignment="1" applyProtection="1">
      <alignment horizontal="left" vertical="top" wrapText="1"/>
      <protection hidden="1"/>
    </xf>
    <xf numFmtId="0" fontId="4" fillId="0" borderId="0" xfId="0" applyFont="1" applyFill="1" applyBorder="1" applyAlignment="1" applyProtection="1">
      <protection hidden="1"/>
    </xf>
    <xf numFmtId="0" fontId="2" fillId="7" borderId="0" xfId="0" applyFont="1" applyFill="1" applyBorder="1" applyAlignment="1"/>
    <xf numFmtId="0" fontId="4" fillId="7" borderId="4" xfId="0" applyFont="1" applyFill="1" applyBorder="1" applyProtection="1">
      <protection hidden="1"/>
    </xf>
    <xf numFmtId="0" fontId="2" fillId="0" borderId="26" xfId="0" applyFont="1" applyFill="1" applyBorder="1" applyAlignment="1" applyProtection="1">
      <alignment horizontal="center"/>
      <protection locked="0"/>
    </xf>
    <xf numFmtId="0" fontId="2" fillId="0" borderId="26" xfId="0" applyFont="1" applyFill="1" applyBorder="1" applyAlignment="1" applyProtection="1">
      <alignment horizontal="center"/>
      <protection hidden="1"/>
    </xf>
    <xf numFmtId="0" fontId="2" fillId="7" borderId="0" xfId="0" applyFont="1" applyFill="1" applyBorder="1" applyAlignment="1" applyProtection="1">
      <alignment horizontal="center"/>
      <protection hidden="1"/>
    </xf>
    <xf numFmtId="189" fontId="2" fillId="7" borderId="0" xfId="0" applyNumberFormat="1" applyFont="1" applyFill="1" applyBorder="1" applyAlignment="1" applyProtection="1">
      <alignment horizontal="center" vertical="top"/>
      <protection hidden="1"/>
    </xf>
    <xf numFmtId="168" fontId="2" fillId="7" borderId="0" xfId="0" applyNumberFormat="1" applyFont="1" applyFill="1" applyBorder="1" applyAlignment="1" applyProtection="1">
      <alignment horizontal="center" vertical="top"/>
      <protection hidden="1"/>
    </xf>
    <xf numFmtId="168" fontId="0" fillId="7" borderId="0" xfId="0" applyNumberFormat="1" applyFill="1" applyBorder="1" applyAlignment="1" applyProtection="1">
      <alignment vertical="top"/>
      <protection hidden="1"/>
    </xf>
    <xf numFmtId="178" fontId="0" fillId="7" borderId="0" xfId="0" applyNumberFormat="1" applyFill="1" applyBorder="1" applyAlignment="1" applyProtection="1">
      <alignment horizontal="left"/>
      <protection hidden="1"/>
    </xf>
    <xf numFmtId="0" fontId="0" fillId="0" borderId="0" xfId="0"/>
    <xf numFmtId="2" fontId="1" fillId="0" borderId="0" xfId="0" applyNumberFormat="1" applyFont="1" applyFill="1" applyProtection="1">
      <protection hidden="1"/>
    </xf>
    <xf numFmtId="0" fontId="1" fillId="7" borderId="0" xfId="0" applyFont="1" applyFill="1"/>
    <xf numFmtId="0" fontId="13" fillId="7" borderId="0" xfId="0" applyFont="1" applyFill="1"/>
    <xf numFmtId="0" fontId="2" fillId="7" borderId="0" xfId="0" applyFont="1" applyFill="1"/>
    <xf numFmtId="0" fontId="1" fillId="7" borderId="0" xfId="0" applyFont="1" applyFill="1" applyAlignment="1">
      <alignment horizontal="left"/>
    </xf>
    <xf numFmtId="0" fontId="13" fillId="7" borderId="0" xfId="0" applyFont="1" applyFill="1" applyAlignment="1">
      <alignment horizontal="left"/>
    </xf>
    <xf numFmtId="0" fontId="5" fillId="7" borderId="0" xfId="0" applyFont="1" applyFill="1"/>
    <xf numFmtId="0" fontId="5" fillId="7" borderId="0" xfId="0" applyFont="1" applyFill="1" applyAlignment="1">
      <alignment horizontal="right"/>
    </xf>
    <xf numFmtId="0" fontId="1" fillId="7" borderId="0" xfId="0" applyFont="1" applyFill="1" applyAlignment="1">
      <alignment horizontal="right"/>
    </xf>
    <xf numFmtId="0" fontId="5" fillId="7" borderId="5" xfId="0" applyFont="1" applyFill="1" applyBorder="1" applyAlignment="1" applyProtection="1">
      <alignment horizontal="left"/>
      <protection locked="0"/>
    </xf>
    <xf numFmtId="0" fontId="0" fillId="0" borderId="3" xfId="0" applyBorder="1" applyAlignment="1" applyProtection="1">
      <protection hidden="1"/>
    </xf>
    <xf numFmtId="0" fontId="44" fillId="0" borderId="2" xfId="0" applyFont="1" applyFill="1" applyBorder="1" applyAlignment="1" applyProtection="1">
      <alignment wrapText="1"/>
      <protection hidden="1"/>
    </xf>
    <xf numFmtId="0" fontId="44" fillId="0" borderId="0" xfId="0" applyFont="1" applyFill="1" applyBorder="1" applyAlignment="1" applyProtection="1">
      <alignment wrapText="1"/>
      <protection hidden="1"/>
    </xf>
    <xf numFmtId="189" fontId="2" fillId="0" borderId="29" xfId="0" applyNumberFormat="1" applyFont="1" applyFill="1" applyBorder="1" applyAlignment="1" applyProtection="1">
      <alignment horizontal="center"/>
      <protection hidden="1"/>
    </xf>
    <xf numFmtId="189"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left"/>
      <protection hidden="1"/>
    </xf>
    <xf numFmtId="0" fontId="0" fillId="0" borderId="0" xfId="0" applyFill="1" applyBorder="1" applyAlignment="1" applyProtection="1">
      <protection hidden="1"/>
    </xf>
    <xf numFmtId="0" fontId="0" fillId="0" borderId="3" xfId="0" applyFill="1" applyBorder="1" applyAlignment="1" applyProtection="1">
      <protection hidden="1"/>
    </xf>
    <xf numFmtId="0" fontId="48" fillId="0" borderId="45" xfId="0" applyFont="1" applyFill="1" applyBorder="1" applyAlignment="1" applyProtection="1">
      <alignment horizontal="center"/>
      <protection hidden="1"/>
    </xf>
    <xf numFmtId="0" fontId="4" fillId="7" borderId="0" xfId="0" applyFont="1" applyFill="1" applyProtection="1">
      <protection locked="0"/>
    </xf>
    <xf numFmtId="0" fontId="0" fillId="0" borderId="0" xfId="0" applyAlignment="1"/>
    <xf numFmtId="0" fontId="0" fillId="7" borderId="0" xfId="0" applyFill="1" applyAlignment="1"/>
    <xf numFmtId="0" fontId="0" fillId="0" borderId="0" xfId="0" applyAlignment="1">
      <alignment vertical="top"/>
    </xf>
    <xf numFmtId="0" fontId="1" fillId="2" borderId="0" xfId="0" applyFont="1" applyFill="1" applyAlignment="1" applyProtection="1">
      <alignment vertical="top"/>
      <protection hidden="1"/>
    </xf>
    <xf numFmtId="0" fontId="0" fillId="2" borderId="0" xfId="0" applyFill="1" applyAlignment="1" applyProtection="1">
      <alignment vertical="top"/>
      <protection hidden="1"/>
    </xf>
    <xf numFmtId="0" fontId="2" fillId="2" borderId="0" xfId="0" applyFont="1" applyFill="1" applyBorder="1" applyAlignment="1" applyProtection="1">
      <alignment vertical="top"/>
      <protection hidden="1"/>
    </xf>
    <xf numFmtId="0" fontId="4" fillId="7" borderId="0" xfId="0" applyFont="1" applyFill="1" applyAlignment="1" applyProtection="1">
      <alignment vertical="top"/>
      <protection hidden="1"/>
    </xf>
    <xf numFmtId="49" fontId="4" fillId="2" borderId="0" xfId="0" applyNumberFormat="1" applyFont="1" applyFill="1" applyAlignment="1" applyProtection="1">
      <alignment vertical="top"/>
      <protection hidden="1"/>
    </xf>
    <xf numFmtId="0" fontId="0" fillId="0" borderId="0" xfId="0"/>
    <xf numFmtId="0" fontId="0" fillId="7" borderId="0" xfId="0" applyFill="1" applyAlignment="1">
      <alignment wrapText="1"/>
    </xf>
    <xf numFmtId="0" fontId="0" fillId="7" borderId="0" xfId="0" applyFill="1" applyAlignment="1"/>
    <xf numFmtId="0" fontId="0" fillId="7" borderId="0" xfId="0" applyFill="1" applyAlignment="1" applyProtection="1">
      <alignment vertical="top" wrapText="1"/>
      <protection hidden="1"/>
    </xf>
    <xf numFmtId="49" fontId="1" fillId="7" borderId="0" xfId="0" applyNumberFormat="1" applyFont="1" applyFill="1" applyAlignment="1" applyProtection="1">
      <alignment vertical="top"/>
      <protection hidden="1"/>
    </xf>
    <xf numFmtId="0" fontId="4" fillId="7" borderId="0" xfId="0" applyFont="1" applyFill="1" applyAlignment="1" applyProtection="1">
      <alignment vertical="top"/>
      <protection hidden="1"/>
    </xf>
    <xf numFmtId="0" fontId="0" fillId="7" borderId="0" xfId="0" applyFill="1" applyAlignment="1">
      <alignment vertical="top"/>
    </xf>
    <xf numFmtId="0" fontId="0" fillId="7" borderId="0" xfId="0" applyFill="1" applyAlignment="1">
      <alignment vertical="center"/>
    </xf>
    <xf numFmtId="0" fontId="0" fillId="7" borderId="0" xfId="0" applyFill="1" applyAlignment="1"/>
    <xf numFmtId="0" fontId="1" fillId="7" borderId="0" xfId="0" applyFont="1" applyFill="1" applyAlignment="1" applyProtection="1">
      <alignment vertical="top"/>
      <protection hidden="1"/>
    </xf>
    <xf numFmtId="0" fontId="0" fillId="7" borderId="0" xfId="0" applyFill="1" applyAlignment="1">
      <alignment vertical="top"/>
    </xf>
    <xf numFmtId="43" fontId="1" fillId="7" borderId="0" xfId="0" applyNumberFormat="1" applyFont="1" applyFill="1" applyAlignment="1">
      <alignment vertical="top"/>
    </xf>
    <xf numFmtId="0" fontId="2" fillId="7" borderId="0" xfId="0" applyFont="1" applyFill="1" applyAlignment="1"/>
    <xf numFmtId="0" fontId="4" fillId="7" borderId="0" xfId="0" applyFont="1" applyFill="1" applyAlignment="1" applyProtection="1">
      <alignment vertical="center"/>
      <protection hidden="1"/>
    </xf>
    <xf numFmtId="14" fontId="1" fillId="7" borderId="0" xfId="0" applyNumberFormat="1" applyFont="1" applyFill="1" applyAlignment="1" applyProtection="1">
      <alignment horizontal="left"/>
      <protection hidden="1"/>
    </xf>
    <xf numFmtId="180" fontId="4" fillId="7" borderId="0" xfId="0" applyNumberFormat="1" applyFont="1" applyFill="1" applyAlignment="1" applyProtection="1">
      <alignment horizontal="left"/>
      <protection hidden="1"/>
    </xf>
    <xf numFmtId="183" fontId="4" fillId="7" borderId="0" xfId="0" applyNumberFormat="1" applyFont="1" applyFill="1" applyAlignment="1" applyProtection="1">
      <alignment horizontal="left"/>
      <protection hidden="1"/>
    </xf>
    <xf numFmtId="168" fontId="1" fillId="7" borderId="0" xfId="0" applyNumberFormat="1" applyFont="1" applyFill="1" applyProtection="1">
      <protection hidden="1"/>
    </xf>
    <xf numFmtId="14" fontId="4" fillId="7" borderId="0" xfId="0" applyNumberFormat="1" applyFont="1" applyFill="1" applyProtection="1">
      <protection hidden="1"/>
    </xf>
    <xf numFmtId="173" fontId="4" fillId="7" borderId="0" xfId="0" applyNumberFormat="1" applyFont="1" applyFill="1" applyProtection="1">
      <protection hidden="1"/>
    </xf>
    <xf numFmtId="12" fontId="4" fillId="7" borderId="0" xfId="0" applyNumberFormat="1" applyFont="1" applyFill="1" applyProtection="1">
      <protection hidden="1"/>
    </xf>
    <xf numFmtId="171" fontId="4" fillId="7" borderId="0" xfId="0" applyNumberFormat="1" applyFont="1" applyFill="1" applyAlignment="1" applyProtection="1">
      <alignment horizontal="left"/>
      <protection hidden="1"/>
    </xf>
    <xf numFmtId="0" fontId="2" fillId="7" borderId="2" xfId="0" applyFont="1" applyFill="1" applyBorder="1" applyAlignment="1" applyProtection="1">
      <protection hidden="1"/>
    </xf>
    <xf numFmtId="0" fontId="0" fillId="7" borderId="0" xfId="0" applyFill="1" applyBorder="1" applyAlignment="1"/>
    <xf numFmtId="0" fontId="0" fillId="7" borderId="0" xfId="0" applyFill="1" applyBorder="1" applyAlignment="1" applyProtection="1">
      <alignment wrapText="1"/>
      <protection hidden="1"/>
    </xf>
    <xf numFmtId="0" fontId="2" fillId="8" borderId="22" xfId="0" applyFont="1" applyFill="1" applyBorder="1" applyAlignment="1" applyProtection="1">
      <alignment horizontal="center"/>
      <protection locked="0"/>
    </xf>
    <xf numFmtId="1" fontId="42" fillId="0" borderId="24" xfId="5" applyNumberFormat="1" applyFont="1" applyBorder="1" applyAlignment="1" applyProtection="1">
      <alignment horizontal="center" wrapText="1"/>
      <protection locked="0"/>
    </xf>
    <xf numFmtId="1" fontId="42" fillId="0" borderId="24" xfId="5" applyNumberFormat="1" applyFont="1" applyBorder="1" applyAlignment="1">
      <alignment horizontal="center" wrapText="1"/>
    </xf>
    <xf numFmtId="1" fontId="38" fillId="0" borderId="26" xfId="5" applyNumberFormat="1" applyFont="1" applyFill="1" applyBorder="1" applyAlignment="1" applyProtection="1">
      <alignment vertical="center"/>
    </xf>
    <xf numFmtId="7" fontId="4" fillId="0" borderId="0" xfId="0" applyNumberFormat="1" applyFont="1" applyFill="1" applyProtection="1">
      <protection hidden="1"/>
    </xf>
    <xf numFmtId="0" fontId="0" fillId="7" borderId="0" xfId="0" applyFill="1" applyAlignment="1"/>
    <xf numFmtId="0" fontId="0" fillId="7" borderId="0" xfId="0" applyFill="1" applyAlignment="1" applyProtection="1">
      <protection hidden="1"/>
    </xf>
    <xf numFmtId="0" fontId="0" fillId="0" borderId="0" xfId="0" applyAlignment="1">
      <alignment vertical="top"/>
    </xf>
    <xf numFmtId="49" fontId="4" fillId="2" borderId="0" xfId="0" applyNumberFormat="1" applyFont="1" applyFill="1" applyAlignment="1" applyProtection="1">
      <alignment vertical="top"/>
      <protection hidden="1"/>
    </xf>
    <xf numFmtId="0" fontId="0" fillId="7" borderId="0" xfId="0" applyFill="1" applyAlignment="1">
      <alignment vertical="top"/>
    </xf>
    <xf numFmtId="0" fontId="0" fillId="0" borderId="0" xfId="0"/>
    <xf numFmtId="0" fontId="2" fillId="2" borderId="2" xfId="0" applyFont="1" applyFill="1" applyBorder="1" applyAlignment="1" applyProtection="1">
      <alignment horizontal="left"/>
      <protection hidden="1"/>
    </xf>
    <xf numFmtId="0" fontId="0" fillId="7" borderId="0" xfId="0" applyFill="1" applyAlignment="1">
      <alignment wrapText="1"/>
    </xf>
    <xf numFmtId="0" fontId="10" fillId="2" borderId="0" xfId="0" applyFont="1" applyFill="1" applyBorder="1" applyAlignment="1" applyProtection="1">
      <alignment horizontal="center"/>
      <protection hidden="1"/>
    </xf>
    <xf numFmtId="0" fontId="0" fillId="7" borderId="0" xfId="0" applyFill="1" applyBorder="1"/>
    <xf numFmtId="0" fontId="36" fillId="7" borderId="0" xfId="0" applyFont="1" applyFill="1" applyBorder="1" applyAlignment="1">
      <alignment horizontal="center" wrapText="1"/>
    </xf>
    <xf numFmtId="0" fontId="0" fillId="7" borderId="3" xfId="0" applyFill="1" applyBorder="1" applyAlignment="1">
      <alignment horizontal="center" wrapText="1"/>
    </xf>
    <xf numFmtId="0" fontId="36" fillId="7" borderId="45" xfId="0" applyFont="1" applyFill="1" applyBorder="1" applyAlignment="1">
      <alignment horizontal="center" wrapText="1"/>
    </xf>
    <xf numFmtId="0" fontId="0" fillId="7" borderId="45" xfId="0" applyFill="1" applyBorder="1" applyAlignment="1">
      <alignment horizontal="center" wrapText="1"/>
    </xf>
    <xf numFmtId="0" fontId="0" fillId="7" borderId="33" xfId="0" applyFill="1" applyBorder="1" applyAlignment="1">
      <alignment horizontal="center" wrapText="1"/>
    </xf>
    <xf numFmtId="0" fontId="2" fillId="7" borderId="2" xfId="0" applyFont="1" applyFill="1" applyBorder="1" applyAlignment="1" applyProtection="1">
      <alignment horizontal="left" vertical="center"/>
      <protection hidden="1"/>
    </xf>
    <xf numFmtId="0" fontId="2" fillId="7" borderId="2" xfId="0" applyFont="1" applyFill="1" applyBorder="1" applyAlignment="1">
      <alignment horizontal="left" vertical="center"/>
    </xf>
    <xf numFmtId="0" fontId="2" fillId="7" borderId="0" xfId="0" applyFont="1" applyFill="1" applyAlignment="1">
      <alignment horizontal="center" wrapText="1"/>
    </xf>
    <xf numFmtId="0" fontId="2" fillId="7" borderId="0" xfId="0" applyFont="1" applyFill="1" applyBorder="1" applyAlignment="1">
      <alignment horizontal="center" wrapText="1"/>
    </xf>
    <xf numFmtId="0" fontId="0" fillId="7" borderId="0" xfId="0" applyFill="1" applyAlignment="1">
      <alignment horizontal="center" wrapText="1"/>
    </xf>
    <xf numFmtId="0" fontId="1" fillId="7" borderId="0" xfId="0" applyFont="1" applyFill="1" applyAlignment="1">
      <alignment wrapText="1"/>
    </xf>
    <xf numFmtId="0" fontId="4" fillId="7" borderId="0" xfId="0" applyFont="1" applyFill="1" applyAlignment="1" applyProtection="1">
      <protection hidden="1"/>
    </xf>
    <xf numFmtId="0" fontId="4" fillId="7" borderId="0" xfId="0" applyFont="1" applyFill="1" applyBorder="1" applyAlignment="1" applyProtection="1">
      <protection hidden="1"/>
    </xf>
    <xf numFmtId="0" fontId="6" fillId="7" borderId="0" xfId="0" applyFont="1" applyFill="1" applyProtection="1">
      <protection hidden="1"/>
    </xf>
    <xf numFmtId="0" fontId="2" fillId="7" borderId="0" xfId="0" applyFont="1" applyFill="1" applyProtection="1">
      <protection hidden="1"/>
    </xf>
    <xf numFmtId="0" fontId="8" fillId="2" borderId="0" xfId="0" applyFont="1" applyFill="1" applyBorder="1" applyProtection="1">
      <protection hidden="1"/>
    </xf>
    <xf numFmtId="0" fontId="19" fillId="2" borderId="0" xfId="0" applyFont="1" applyFill="1" applyBorder="1" applyAlignment="1" applyProtection="1">
      <alignment horizontal="center"/>
      <protection hidden="1"/>
    </xf>
    <xf numFmtId="0" fontId="8" fillId="7" borderId="0" xfId="0" applyFont="1" applyFill="1" applyBorder="1" applyProtection="1">
      <protection hidden="1"/>
    </xf>
    <xf numFmtId="0" fontId="19" fillId="7" borderId="0" xfId="0" applyFont="1" applyFill="1" applyBorder="1" applyAlignment="1" applyProtection="1">
      <alignment horizontal="center"/>
      <protection hidden="1"/>
    </xf>
    <xf numFmtId="0" fontId="49" fillId="2" borderId="0" xfId="0" applyFont="1" applyFill="1" applyBorder="1" applyProtection="1">
      <protection hidden="1"/>
    </xf>
    <xf numFmtId="0" fontId="49" fillId="7" borderId="0" xfId="0" applyFont="1" applyFill="1" applyBorder="1" applyProtection="1">
      <protection hidden="1"/>
    </xf>
    <xf numFmtId="0" fontId="0" fillId="7" borderId="0" xfId="0" applyFill="1" applyAlignment="1">
      <alignment horizontal="left"/>
    </xf>
    <xf numFmtId="0" fontId="2" fillId="2" borderId="0" xfId="0" applyFont="1" applyFill="1" applyBorder="1" applyAlignment="1" applyProtection="1">
      <alignment horizontal="center"/>
      <protection hidden="1"/>
    </xf>
    <xf numFmtId="0" fontId="2" fillId="7" borderId="0" xfId="0" applyFont="1" applyFill="1" applyBorder="1" applyAlignment="1" applyProtection="1">
      <alignment horizontal="center"/>
      <protection locked="0"/>
    </xf>
    <xf numFmtId="0" fontId="50" fillId="2" borderId="0" xfId="0" applyFont="1" applyFill="1" applyBorder="1" applyAlignment="1" applyProtection="1">
      <alignment horizontal="center"/>
      <protection hidden="1"/>
    </xf>
    <xf numFmtId="0" fontId="0" fillId="0" borderId="0" xfId="0"/>
    <xf numFmtId="0" fontId="2" fillId="2" borderId="0" xfId="0" applyFont="1" applyFill="1" applyBorder="1" applyAlignment="1" applyProtection="1">
      <protection hidden="1"/>
    </xf>
    <xf numFmtId="0" fontId="2" fillId="7" borderId="2" xfId="0" applyFont="1" applyFill="1" applyBorder="1" applyAlignment="1" applyProtection="1">
      <alignment horizontal="right"/>
      <protection hidden="1"/>
    </xf>
    <xf numFmtId="190" fontId="0" fillId="7" borderId="0" xfId="0" applyNumberFormat="1" applyFill="1" applyBorder="1" applyAlignment="1" applyProtection="1">
      <alignment horizontal="left"/>
      <protection hidden="1"/>
    </xf>
    <xf numFmtId="190" fontId="0" fillId="7" borderId="0" xfId="0" applyNumberFormat="1" applyFill="1" applyAlignment="1" applyProtection="1">
      <protection hidden="1"/>
    </xf>
    <xf numFmtId="0" fontId="29" fillId="2" borderId="2" xfId="0" applyFont="1" applyFill="1" applyBorder="1" applyAlignment="1" applyProtection="1">
      <alignment horizontal="right"/>
      <protection hidden="1"/>
    </xf>
    <xf numFmtId="0" fontId="0" fillId="7" borderId="0" xfId="0" applyFill="1" applyBorder="1" applyAlignment="1"/>
    <xf numFmtId="0" fontId="0" fillId="0" borderId="0" xfId="0" applyAlignment="1">
      <alignment horizontal="left"/>
    </xf>
    <xf numFmtId="0" fontId="0" fillId="7" borderId="0" xfId="0" applyFill="1" applyAlignment="1"/>
    <xf numFmtId="0" fontId="0" fillId="7" borderId="0" xfId="0" applyFill="1" applyBorder="1" applyAlignment="1" applyProtection="1">
      <alignment horizontal="right"/>
      <protection hidden="1"/>
    </xf>
    <xf numFmtId="0" fontId="0" fillId="0" borderId="0" xfId="0"/>
    <xf numFmtId="0" fontId="0" fillId="2" borderId="0" xfId="0" applyFill="1" applyAlignment="1"/>
    <xf numFmtId="0" fontId="0" fillId="7" borderId="0" xfId="0" applyFill="1" applyBorder="1" applyAlignment="1" applyProtection="1">
      <protection hidden="1"/>
    </xf>
    <xf numFmtId="0" fontId="0" fillId="7" borderId="0" xfId="0" applyFill="1" applyBorder="1" applyAlignment="1"/>
    <xf numFmtId="0" fontId="0" fillId="0" borderId="0" xfId="0" applyAlignment="1"/>
    <xf numFmtId="0" fontId="2" fillId="0" borderId="0" xfId="0" applyFont="1" applyBorder="1" applyAlignment="1"/>
    <xf numFmtId="0" fontId="2" fillId="2" borderId="2" xfId="0" applyFont="1" applyFill="1" applyBorder="1" applyAlignment="1" applyProtection="1">
      <alignment vertical="center"/>
      <protection hidden="1"/>
    </xf>
    <xf numFmtId="0" fontId="1" fillId="7" borderId="0" xfId="0" applyFont="1" applyFill="1" applyAlignment="1" applyProtection="1">
      <protection hidden="1"/>
    </xf>
    <xf numFmtId="0" fontId="0" fillId="0" borderId="0" xfId="0" applyAlignment="1">
      <alignment horizontal="left"/>
    </xf>
    <xf numFmtId="0" fontId="2" fillId="7" borderId="2" xfId="0" applyFont="1" applyFill="1" applyBorder="1" applyAlignment="1" applyProtection="1">
      <alignment horizontal="right"/>
      <protection hidden="1"/>
    </xf>
    <xf numFmtId="190" fontId="0" fillId="7" borderId="0" xfId="0" applyNumberFormat="1" applyFill="1" applyBorder="1" applyAlignment="1" applyProtection="1">
      <alignment horizontal="left"/>
      <protection hidden="1"/>
    </xf>
    <xf numFmtId="190" fontId="0" fillId="7" borderId="0" xfId="0" applyNumberFormat="1" applyFill="1" applyAlignment="1" applyProtection="1">
      <protection hidden="1"/>
    </xf>
    <xf numFmtId="186" fontId="2" fillId="7" borderId="5" xfId="2" applyNumberFormat="1" applyFont="1" applyFill="1" applyBorder="1" applyAlignment="1" applyProtection="1">
      <alignment horizontal="center"/>
      <protection hidden="1"/>
    </xf>
    <xf numFmtId="0" fontId="0" fillId="2" borderId="0" xfId="0" applyFill="1" applyProtection="1">
      <protection hidden="1"/>
    </xf>
    <xf numFmtId="0" fontId="0" fillId="0" borderId="0" xfId="0"/>
    <xf numFmtId="0" fontId="1" fillId="2" borderId="0" xfId="0" applyFont="1" applyFill="1" applyBorder="1" applyProtection="1">
      <protection hidden="1"/>
    </xf>
    <xf numFmtId="0" fontId="48" fillId="7" borderId="0" xfId="0" applyFont="1" applyFill="1" applyBorder="1" applyAlignment="1" applyProtection="1">
      <alignment horizontal="center"/>
      <protection hidden="1"/>
    </xf>
    <xf numFmtId="0" fontId="4" fillId="0" borderId="2" xfId="0" applyFont="1" applyFill="1" applyBorder="1" applyProtection="1">
      <protection hidden="1"/>
    </xf>
    <xf numFmtId="178" fontId="2" fillId="7" borderId="0" xfId="0" applyNumberFormat="1" applyFont="1" applyFill="1" applyBorder="1" applyAlignment="1" applyProtection="1">
      <alignment horizontal="left"/>
      <protection hidden="1"/>
    </xf>
    <xf numFmtId="0" fontId="25" fillId="7" borderId="0" xfId="0" applyFont="1" applyFill="1" applyBorder="1" applyAlignment="1" applyProtection="1">
      <alignment horizontal="center"/>
      <protection hidden="1"/>
    </xf>
    <xf numFmtId="0" fontId="0" fillId="7" borderId="0" xfId="0" applyFill="1" applyAlignment="1" applyProtection="1">
      <alignment horizontal="right"/>
      <protection hidden="1"/>
    </xf>
    <xf numFmtId="170" fontId="2" fillId="7" borderId="45" xfId="0" applyNumberFormat="1" applyFont="1" applyFill="1" applyBorder="1" applyAlignment="1" applyProtection="1">
      <alignment horizontal="right"/>
      <protection hidden="1"/>
    </xf>
    <xf numFmtId="170" fontId="0" fillId="7" borderId="45" xfId="0" applyNumberFormat="1" applyFill="1" applyBorder="1" applyAlignment="1" applyProtection="1">
      <alignment horizontal="right"/>
      <protection hidden="1"/>
    </xf>
    <xf numFmtId="1" fontId="2" fillId="7" borderId="45" xfId="0" applyNumberFormat="1" applyFont="1" applyFill="1" applyBorder="1" applyAlignment="1" applyProtection="1">
      <alignment horizontal="left"/>
      <protection hidden="1"/>
    </xf>
    <xf numFmtId="0" fontId="2" fillId="9" borderId="26" xfId="0" applyFont="1" applyFill="1" applyBorder="1" applyAlignment="1" applyProtection="1">
      <alignment horizontal="center"/>
      <protection locked="0"/>
    </xf>
    <xf numFmtId="0" fontId="2" fillId="7" borderId="0" xfId="0" applyFont="1" applyFill="1" applyAlignment="1">
      <alignment horizontal="left"/>
    </xf>
    <xf numFmtId="0" fontId="0" fillId="7" borderId="0" xfId="0" applyFill="1" applyBorder="1" applyAlignment="1">
      <alignment horizontal="left"/>
    </xf>
    <xf numFmtId="0" fontId="52" fillId="7" borderId="0" xfId="0" applyFont="1" applyFill="1"/>
    <xf numFmtId="0" fontId="5" fillId="7" borderId="26" xfId="0" applyFont="1" applyFill="1" applyBorder="1" applyAlignment="1">
      <alignment horizontal="center" vertical="center"/>
    </xf>
    <xf numFmtId="0" fontId="5" fillId="7" borderId="29" xfId="0" applyFont="1" applyFill="1" applyBorder="1" applyAlignment="1">
      <alignment horizontal="center" vertical="center"/>
    </xf>
    <xf numFmtId="0" fontId="52" fillId="7" borderId="32" xfId="0" applyFont="1" applyFill="1" applyBorder="1"/>
    <xf numFmtId="0" fontId="52" fillId="7" borderId="45" xfId="0" applyFont="1" applyFill="1" applyBorder="1"/>
    <xf numFmtId="0" fontId="52" fillId="7" borderId="33" xfId="0" applyFont="1" applyFill="1" applyBorder="1"/>
    <xf numFmtId="0" fontId="52" fillId="7" borderId="0" xfId="0" applyFont="1" applyFill="1" applyAlignment="1">
      <alignment vertical="center"/>
    </xf>
    <xf numFmtId="0" fontId="2" fillId="9" borderId="26" xfId="0" applyFont="1" applyFill="1" applyBorder="1" applyAlignment="1" applyProtection="1">
      <alignment horizontal="center"/>
      <protection hidden="1"/>
    </xf>
    <xf numFmtId="0" fontId="0" fillId="7" borderId="0" xfId="0" applyFill="1" applyBorder="1" applyAlignment="1" applyProtection="1">
      <alignment horizontal="left"/>
      <protection hidden="1"/>
    </xf>
    <xf numFmtId="0" fontId="5" fillId="9" borderId="26" xfId="0" applyFont="1" applyFill="1" applyBorder="1" applyAlignment="1" applyProtection="1">
      <alignment horizontal="center"/>
      <protection locked="0"/>
    </xf>
    <xf numFmtId="178" fontId="2" fillId="9" borderId="26" xfId="0" applyNumberFormat="1" applyFont="1" applyFill="1" applyBorder="1" applyAlignment="1" applyProtection="1">
      <alignment horizontal="center"/>
      <protection locked="0"/>
    </xf>
    <xf numFmtId="0" fontId="25" fillId="7" borderId="5" xfId="0" applyFont="1" applyFill="1" applyBorder="1" applyAlignment="1" applyProtection="1">
      <alignment horizontal="center"/>
      <protection hidden="1"/>
    </xf>
    <xf numFmtId="0" fontId="4" fillId="7" borderId="1" xfId="0" applyFont="1" applyFill="1" applyBorder="1" applyProtection="1">
      <protection hidden="1"/>
    </xf>
    <xf numFmtId="0" fontId="4" fillId="7" borderId="2" xfId="0" applyFont="1" applyFill="1" applyBorder="1" applyAlignment="1" applyProtection="1">
      <alignment vertical="center"/>
      <protection hidden="1"/>
    </xf>
    <xf numFmtId="49" fontId="4" fillId="7" borderId="0" xfId="0" applyNumberFormat="1" applyFont="1" applyFill="1" applyBorder="1" applyAlignment="1" applyProtection="1">
      <alignment vertical="top"/>
      <protection hidden="1"/>
    </xf>
    <xf numFmtId="0" fontId="2" fillId="7" borderId="26" xfId="0" applyFont="1" applyFill="1" applyBorder="1" applyAlignment="1" applyProtection="1">
      <alignment horizontal="center"/>
      <protection locked="0"/>
    </xf>
    <xf numFmtId="0" fontId="2" fillId="7" borderId="50" xfId="0" applyFont="1" applyFill="1" applyBorder="1" applyAlignment="1" applyProtection="1">
      <alignment horizontal="center"/>
      <protection locked="0"/>
    </xf>
    <xf numFmtId="0" fontId="2" fillId="7" borderId="56" xfId="0" applyFont="1" applyFill="1" applyBorder="1" applyAlignment="1" applyProtection="1">
      <alignment horizontal="center"/>
      <protection locked="0"/>
    </xf>
    <xf numFmtId="0" fontId="0" fillId="7" borderId="3" xfId="0" applyFill="1" applyBorder="1"/>
    <xf numFmtId="0" fontId="1" fillId="7" borderId="61" xfId="0" applyFont="1" applyFill="1" applyBorder="1"/>
    <xf numFmtId="0" fontId="1" fillId="7" borderId="62" xfId="0" applyFont="1" applyFill="1" applyBorder="1"/>
    <xf numFmtId="0" fontId="2" fillId="7" borderId="53" xfId="0" applyFont="1" applyFill="1" applyBorder="1" applyAlignment="1" applyProtection="1">
      <alignment horizontal="center"/>
      <protection locked="0"/>
    </xf>
    <xf numFmtId="49" fontId="2" fillId="7" borderId="53" xfId="0" applyNumberFormat="1" applyFont="1" applyFill="1" applyBorder="1" applyAlignment="1" applyProtection="1">
      <alignment horizontal="center"/>
      <protection locked="0"/>
    </xf>
    <xf numFmtId="0" fontId="1" fillId="7" borderId="62" xfId="0" applyFont="1" applyFill="1" applyBorder="1" applyAlignment="1"/>
    <xf numFmtId="0" fontId="1" fillId="7" borderId="65" xfId="0" applyFont="1" applyFill="1" applyBorder="1" applyAlignment="1"/>
    <xf numFmtId="0" fontId="0" fillId="7" borderId="33" xfId="0" applyFill="1" applyBorder="1"/>
    <xf numFmtId="0" fontId="2" fillId="7" borderId="53" xfId="0" applyNumberFormat="1" applyFont="1" applyFill="1" applyBorder="1" applyAlignment="1" applyProtection="1">
      <alignment horizontal="center"/>
      <protection locked="0"/>
    </xf>
    <xf numFmtId="0" fontId="55" fillId="7" borderId="53" xfId="3" applyFont="1" applyFill="1" applyBorder="1" applyAlignment="1" applyProtection="1">
      <alignment horizontal="center"/>
      <protection locked="0"/>
    </xf>
    <xf numFmtId="0" fontId="1" fillId="7" borderId="62" xfId="0" applyFont="1" applyFill="1" applyBorder="1" applyAlignment="1">
      <alignment vertical="top"/>
    </xf>
    <xf numFmtId="0" fontId="2" fillId="7" borderId="53" xfId="0" applyFont="1" applyFill="1" applyBorder="1" applyAlignment="1" applyProtection="1">
      <alignment vertical="top" wrapText="1"/>
      <protection locked="0"/>
    </xf>
    <xf numFmtId="0" fontId="0" fillId="7" borderId="1" xfId="0" applyFill="1" applyBorder="1"/>
    <xf numFmtId="0" fontId="1" fillId="7" borderId="65" xfId="0" applyFont="1" applyFill="1" applyBorder="1"/>
    <xf numFmtId="8" fontId="2" fillId="7" borderId="56" xfId="0" applyNumberFormat="1" applyFont="1" applyFill="1" applyBorder="1" applyAlignment="1" applyProtection="1">
      <alignment horizontal="center"/>
      <protection locked="0"/>
    </xf>
    <xf numFmtId="178" fontId="2" fillId="7" borderId="0" xfId="0" applyNumberFormat="1" applyFont="1" applyFill="1" applyBorder="1" applyAlignment="1" applyProtection="1">
      <alignment horizontal="center"/>
      <protection hidden="1"/>
    </xf>
    <xf numFmtId="0" fontId="2" fillId="7" borderId="15" xfId="0" applyFont="1" applyFill="1" applyBorder="1" applyAlignment="1" applyProtection="1">
      <alignment horizontal="center"/>
      <protection locked="0"/>
    </xf>
    <xf numFmtId="0" fontId="2" fillId="7" borderId="66" xfId="0" applyFont="1" applyFill="1" applyBorder="1" applyAlignment="1" applyProtection="1">
      <alignment horizontal="center"/>
      <protection hidden="1"/>
    </xf>
    <xf numFmtId="0" fontId="2" fillId="2" borderId="2" xfId="0" applyFont="1" applyFill="1" applyBorder="1" applyAlignment="1" applyProtection="1">
      <alignment horizontal="left"/>
      <protection hidden="1"/>
    </xf>
    <xf numFmtId="0" fontId="2" fillId="2" borderId="0"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2" fillId="7" borderId="2" xfId="0" applyFont="1" applyFill="1" applyBorder="1" applyAlignment="1" applyProtection="1">
      <alignment horizontal="left"/>
      <protection hidden="1"/>
    </xf>
    <xf numFmtId="0" fontId="10" fillId="7" borderId="0" xfId="0" applyFont="1" applyFill="1" applyBorder="1" applyAlignment="1" applyProtection="1">
      <alignment horizontal="center"/>
      <protection hidden="1"/>
    </xf>
    <xf numFmtId="1" fontId="1" fillId="7" borderId="3" xfId="0" applyNumberFormat="1" applyFont="1" applyFill="1" applyBorder="1" applyAlignment="1">
      <alignment horizontal="center"/>
    </xf>
    <xf numFmtId="0" fontId="45" fillId="2" borderId="0" xfId="0" applyFont="1" applyFill="1" applyBorder="1" applyProtection="1">
      <protection hidden="1"/>
    </xf>
    <xf numFmtId="0" fontId="2" fillId="2" borderId="3" xfId="0" applyFont="1" applyFill="1" applyBorder="1" applyAlignment="1" applyProtection="1">
      <alignment horizontal="center"/>
      <protection hidden="1"/>
    </xf>
    <xf numFmtId="0" fontId="2" fillId="7" borderId="3" xfId="0" applyFont="1" applyFill="1" applyBorder="1" applyAlignment="1" applyProtection="1">
      <alignment horizontal="center"/>
      <protection hidden="1"/>
    </xf>
    <xf numFmtId="0" fontId="2" fillId="2" borderId="1" xfId="0" applyFont="1" applyFill="1" applyBorder="1" applyAlignment="1" applyProtection="1">
      <alignment horizontal="center"/>
      <protection hidden="1"/>
    </xf>
    <xf numFmtId="0" fontId="57" fillId="7" borderId="2" xfId="0" applyFont="1" applyFill="1" applyBorder="1" applyAlignment="1" applyProtection="1">
      <alignment horizontal="center"/>
      <protection hidden="1"/>
    </xf>
    <xf numFmtId="0" fontId="57" fillId="7" borderId="0" xfId="0" applyFont="1" applyFill="1" applyBorder="1" applyAlignment="1" applyProtection="1">
      <alignment horizontal="center"/>
      <protection hidden="1"/>
    </xf>
    <xf numFmtId="1" fontId="57" fillId="7" borderId="0" xfId="0" applyNumberFormat="1" applyFont="1" applyFill="1" applyBorder="1" applyAlignment="1" applyProtection="1">
      <alignment horizontal="center"/>
      <protection hidden="1"/>
    </xf>
    <xf numFmtId="166" fontId="1" fillId="0" borderId="0" xfId="0" applyNumberFormat="1" applyFont="1" applyAlignment="1" applyProtection="1">
      <alignment horizontal="center"/>
    </xf>
    <xf numFmtId="0" fontId="10" fillId="2" borderId="2" xfId="0" applyFont="1" applyFill="1" applyBorder="1" applyAlignment="1" applyProtection="1">
      <alignment horizontal="left"/>
      <protection hidden="1"/>
    </xf>
    <xf numFmtId="166" fontId="1" fillId="0" borderId="0" xfId="0" applyNumberFormat="1" applyFont="1" applyAlignment="1" applyProtection="1">
      <alignment horizontal="center" vertical="center"/>
    </xf>
    <xf numFmtId="1" fontId="1" fillId="0" borderId="0" xfId="0" applyNumberFormat="1" applyFont="1" applyAlignment="1" applyProtection="1">
      <alignment horizontal="center"/>
    </xf>
    <xf numFmtId="166" fontId="1" fillId="0" borderId="5" xfId="0" applyNumberFormat="1" applyFont="1" applyBorder="1" applyAlignment="1" applyProtection="1">
      <alignment horizontal="center" vertical="center"/>
    </xf>
    <xf numFmtId="166" fontId="0" fillId="0" borderId="0" xfId="0" applyNumberFormat="1" applyFont="1" applyAlignment="1" applyProtection="1">
      <alignment horizontal="center" vertical="center"/>
    </xf>
    <xf numFmtId="0" fontId="1" fillId="0" borderId="0" xfId="0" applyFont="1" applyAlignment="1">
      <alignment horizontal="center"/>
    </xf>
    <xf numFmtId="0" fontId="45" fillId="7" borderId="67" xfId="0" applyNumberFormat="1" applyFont="1" applyFill="1" applyBorder="1" applyAlignment="1" applyProtection="1">
      <alignment horizontal="left"/>
      <protection hidden="1"/>
    </xf>
    <xf numFmtId="0" fontId="0" fillId="7" borderId="67" xfId="0" applyFill="1" applyBorder="1" applyAlignment="1"/>
    <xf numFmtId="0" fontId="0" fillId="7" borderId="0" xfId="0" applyFill="1" applyAlignment="1"/>
    <xf numFmtId="0" fontId="4" fillId="2" borderId="0" xfId="0" applyFont="1" applyFill="1" applyBorder="1" applyAlignment="1" applyProtection="1">
      <protection hidden="1"/>
    </xf>
    <xf numFmtId="0" fontId="4"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4" fillId="2" borderId="0" xfId="0" applyFont="1" applyFill="1" applyAlignment="1" applyProtection="1">
      <alignment vertical="top"/>
      <protection hidden="1"/>
    </xf>
    <xf numFmtId="49" fontId="4" fillId="2" borderId="0" xfId="0" applyNumberFormat="1" applyFont="1" applyFill="1" applyAlignment="1" applyProtection="1">
      <alignment vertical="top"/>
      <protection hidden="1"/>
    </xf>
    <xf numFmtId="0" fontId="0" fillId="0" borderId="0" xfId="0"/>
    <xf numFmtId="192" fontId="38" fillId="0" borderId="26" xfId="5" applyNumberFormat="1" applyFont="1" applyFill="1" applyBorder="1" applyAlignment="1" applyProtection="1">
      <alignment vertical="center"/>
    </xf>
    <xf numFmtId="1" fontId="38" fillId="0" borderId="37" xfId="5" applyNumberFormat="1" applyFont="1" applyBorder="1" applyAlignment="1" applyProtection="1">
      <alignment horizontal="right" vertical="center"/>
    </xf>
    <xf numFmtId="1" fontId="38" fillId="0" borderId="6" xfId="5" applyNumberFormat="1" applyFont="1" applyBorder="1" applyAlignment="1" applyProtection="1">
      <alignment horizontal="right" vertical="center"/>
    </xf>
    <xf numFmtId="0" fontId="61" fillId="5" borderId="19" xfId="5" applyFont="1" applyFill="1" applyBorder="1" applyAlignment="1" applyProtection="1">
      <alignment horizontal="center" vertical="center" wrapText="1"/>
    </xf>
    <xf numFmtId="0" fontId="61" fillId="0" borderId="24" xfId="5" applyFont="1" applyBorder="1" applyAlignment="1">
      <alignment horizontal="center" wrapText="1"/>
    </xf>
    <xf numFmtId="0" fontId="61" fillId="0" borderId="68" xfId="5" applyFont="1" applyBorder="1" applyAlignment="1">
      <alignment horizontal="center" wrapText="1"/>
    </xf>
    <xf numFmtId="0" fontId="61" fillId="0" borderId="69" xfId="5" applyFont="1" applyBorder="1" applyAlignment="1">
      <alignment horizontal="center" wrapText="1"/>
    </xf>
    <xf numFmtId="0" fontId="1" fillId="0" borderId="0" xfId="0" applyFont="1"/>
    <xf numFmtId="0" fontId="63" fillId="7" borderId="0" xfId="0" applyFont="1" applyFill="1"/>
    <xf numFmtId="0" fontId="62" fillId="7" borderId="0" xfId="0" applyFont="1" applyFill="1" applyAlignment="1">
      <alignment vertical="center"/>
    </xf>
    <xf numFmtId="0" fontId="62" fillId="7" borderId="0" xfId="0" applyFont="1" applyFill="1" applyBorder="1" applyAlignment="1">
      <alignment vertical="center"/>
    </xf>
    <xf numFmtId="0" fontId="52" fillId="7" borderId="0" xfId="0" applyFont="1" applyFill="1" applyAlignment="1">
      <alignment vertical="top" wrapText="1"/>
    </xf>
    <xf numFmtId="0" fontId="53" fillId="7" borderId="0" xfId="0" applyFont="1" applyFill="1" applyBorder="1" applyAlignment="1">
      <alignment vertical="center"/>
    </xf>
    <xf numFmtId="0" fontId="64" fillId="7" borderId="0" xfId="0" applyFont="1" applyFill="1" applyAlignment="1">
      <alignment horizontal="center" vertical="center"/>
    </xf>
    <xf numFmtId="0" fontId="66" fillId="7" borderId="0" xfId="0" applyFont="1" applyFill="1"/>
    <xf numFmtId="0" fontId="66" fillId="7" borderId="2" xfId="0" applyFont="1" applyFill="1" applyBorder="1" applyAlignment="1">
      <alignment vertical="center"/>
    </xf>
    <xf numFmtId="0" fontId="68" fillId="7" borderId="26" xfId="0" applyFont="1" applyFill="1" applyBorder="1" applyAlignment="1">
      <alignment horizontal="center" vertical="center"/>
    </xf>
    <xf numFmtId="0" fontId="66" fillId="7" borderId="3" xfId="0" applyFont="1" applyFill="1" applyBorder="1"/>
    <xf numFmtId="0" fontId="66" fillId="7" borderId="4" xfId="0" applyFont="1" applyFill="1" applyBorder="1"/>
    <xf numFmtId="0" fontId="66" fillId="7" borderId="0" xfId="0" applyNumberFormat="1" applyFont="1" applyFill="1" applyBorder="1" applyAlignment="1">
      <alignment horizontal="center"/>
    </xf>
    <xf numFmtId="0" fontId="66" fillId="7" borderId="0" xfId="0" applyFont="1" applyFill="1" applyAlignment="1"/>
    <xf numFmtId="0" fontId="66" fillId="7" borderId="0" xfId="0" applyFont="1" applyFill="1" applyBorder="1" applyAlignment="1"/>
    <xf numFmtId="0" fontId="68" fillId="7" borderId="0" xfId="0" applyFont="1" applyFill="1" applyBorder="1" applyAlignment="1">
      <alignment horizontal="center"/>
    </xf>
    <xf numFmtId="0" fontId="66" fillId="7" borderId="32" xfId="0" applyFont="1" applyFill="1" applyBorder="1"/>
    <xf numFmtId="0" fontId="66" fillId="7" borderId="45" xfId="0" applyFont="1" applyFill="1" applyBorder="1" applyAlignment="1">
      <alignment horizontal="right"/>
    </xf>
    <xf numFmtId="0" fontId="66" fillId="7" borderId="33" xfId="0" applyFont="1" applyFill="1" applyBorder="1"/>
    <xf numFmtId="0" fontId="66" fillId="7" borderId="2" xfId="0" applyFont="1" applyFill="1" applyBorder="1"/>
    <xf numFmtId="0" fontId="66" fillId="7" borderId="0" xfId="0" applyFont="1" applyFill="1" applyBorder="1" applyAlignment="1">
      <alignment vertical="top"/>
    </xf>
    <xf numFmtId="0" fontId="66" fillId="7" borderId="0" xfId="0" applyFont="1" applyFill="1" applyBorder="1"/>
    <xf numFmtId="0" fontId="68" fillId="7" borderId="0" xfId="0" applyFont="1" applyFill="1" applyBorder="1" applyAlignment="1"/>
    <xf numFmtId="0" fontId="66" fillId="7" borderId="5" xfId="0" applyFont="1" applyFill="1" applyBorder="1" applyAlignment="1"/>
    <xf numFmtId="0" fontId="66" fillId="7" borderId="5" xfId="0" applyFont="1" applyFill="1" applyBorder="1"/>
    <xf numFmtId="0" fontId="66" fillId="7" borderId="1" xfId="0" applyFont="1" applyFill="1" applyBorder="1"/>
    <xf numFmtId="0" fontId="66" fillId="7" borderId="0" xfId="0" applyFont="1" applyFill="1" applyAlignment="1">
      <alignment horizontal="center"/>
    </xf>
    <xf numFmtId="0" fontId="68" fillId="7" borderId="0" xfId="0" applyFont="1" applyFill="1"/>
    <xf numFmtId="44" fontId="66" fillId="7" borderId="0" xfId="0" applyNumberFormat="1" applyFont="1" applyFill="1"/>
    <xf numFmtId="44" fontId="68" fillId="7" borderId="0" xfId="0" applyNumberFormat="1" applyFont="1" applyFill="1" applyBorder="1" applyAlignment="1"/>
    <xf numFmtId="0" fontId="66" fillId="7" borderId="26" xfId="0" applyFont="1" applyFill="1" applyBorder="1"/>
    <xf numFmtId="0" fontId="66" fillId="7" borderId="33" xfId="0" applyFont="1" applyFill="1" applyBorder="1" applyAlignment="1"/>
    <xf numFmtId="0" fontId="68" fillId="7" borderId="26" xfId="0" applyFont="1" applyFill="1" applyBorder="1" applyAlignment="1">
      <alignment horizontal="center" wrapText="1"/>
    </xf>
    <xf numFmtId="0" fontId="66" fillId="7" borderId="0" xfId="0" applyFont="1" applyFill="1" applyBorder="1" applyAlignment="1">
      <alignment vertical="top" wrapText="1"/>
    </xf>
    <xf numFmtId="0" fontId="68" fillId="7" borderId="0" xfId="0" applyFont="1" applyFill="1" applyAlignment="1">
      <alignment vertical="top" wrapText="1"/>
    </xf>
    <xf numFmtId="0" fontId="68" fillId="7" borderId="0" xfId="0" applyFont="1" applyFill="1" applyBorder="1" applyAlignment="1">
      <alignment vertical="top" wrapText="1"/>
    </xf>
    <xf numFmtId="0" fontId="66" fillId="7" borderId="0" xfId="0" applyFont="1" applyFill="1" applyAlignment="1">
      <alignment vertical="center"/>
    </xf>
    <xf numFmtId="0" fontId="66" fillId="7" borderId="0" xfId="0" applyFont="1" applyFill="1" applyAlignment="1">
      <alignment vertical="top" wrapText="1"/>
    </xf>
    <xf numFmtId="0" fontId="66" fillId="7" borderId="0" xfId="0" applyFont="1" applyFill="1" applyBorder="1" applyAlignment="1">
      <alignment vertical="center" wrapText="1"/>
    </xf>
    <xf numFmtId="0" fontId="74" fillId="7" borderId="26" xfId="0" applyFont="1" applyFill="1" applyBorder="1" applyAlignment="1">
      <alignment horizontal="center" vertical="center"/>
    </xf>
    <xf numFmtId="0" fontId="53" fillId="7" borderId="3" xfId="0" applyFont="1" applyFill="1" applyBorder="1"/>
    <xf numFmtId="0" fontId="66" fillId="7" borderId="5" xfId="0" applyFont="1" applyFill="1" applyBorder="1" applyAlignment="1">
      <alignment horizontal="center"/>
    </xf>
    <xf numFmtId="0" fontId="68" fillId="7" borderId="0" xfId="0" applyFont="1" applyFill="1" applyBorder="1" applyAlignment="1">
      <alignment horizontal="left"/>
    </xf>
    <xf numFmtId="0" fontId="66" fillId="7" borderId="0" xfId="0" applyFont="1" applyFill="1" applyBorder="1" applyAlignment="1">
      <alignment horizontal="left"/>
    </xf>
    <xf numFmtId="0" fontId="65" fillId="7" borderId="0" xfId="0" applyFont="1" applyFill="1" applyAlignment="1">
      <alignment vertical="top" wrapText="1"/>
    </xf>
    <xf numFmtId="0" fontId="65" fillId="7" borderId="0" xfId="0" applyFont="1" applyFill="1" applyAlignment="1"/>
    <xf numFmtId="0" fontId="70" fillId="7" borderId="0" xfId="0" applyFont="1" applyFill="1" applyBorder="1" applyAlignment="1">
      <alignment horizontal="center" vertical="center"/>
    </xf>
    <xf numFmtId="0" fontId="0" fillId="7" borderId="0" xfId="0" applyFill="1" applyAlignment="1"/>
    <xf numFmtId="0" fontId="0" fillId="0" borderId="0" xfId="0" applyAlignment="1">
      <alignment vertical="top"/>
    </xf>
    <xf numFmtId="0" fontId="4" fillId="2" borderId="0" xfId="0" applyFont="1" applyFill="1" applyAlignment="1" applyProtection="1">
      <alignment horizontal="left" vertical="top"/>
      <protection hidden="1"/>
    </xf>
    <xf numFmtId="49" fontId="4" fillId="2" borderId="0" xfId="0" applyNumberFormat="1" applyFont="1" applyFill="1" applyAlignment="1" applyProtection="1">
      <alignment vertical="top"/>
      <protection hidden="1"/>
    </xf>
    <xf numFmtId="0" fontId="0" fillId="0" borderId="0" xfId="0"/>
    <xf numFmtId="0" fontId="1" fillId="0" borderId="33" xfId="0" applyFont="1" applyFill="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3" xfId="0" applyFont="1" applyFill="1" applyBorder="1" applyAlignment="1" applyProtection="1">
      <alignment vertical="top" wrapText="1"/>
      <protection hidden="1"/>
    </xf>
    <xf numFmtId="0" fontId="2" fillId="11" borderId="26" xfId="0" applyFont="1" applyFill="1" applyBorder="1" applyAlignment="1" applyProtection="1">
      <alignment horizontal="center"/>
      <protection locked="0"/>
    </xf>
    <xf numFmtId="0" fontId="1" fillId="0" borderId="0" xfId="0" applyFont="1" applyAlignment="1">
      <alignment vertical="top"/>
    </xf>
    <xf numFmtId="0" fontId="1" fillId="0" borderId="0" xfId="0" applyFont="1" applyFill="1" applyAlignment="1" applyProtection="1">
      <alignment horizontal="center" vertical="top" wrapText="1"/>
      <protection hidden="1"/>
    </xf>
    <xf numFmtId="0" fontId="1" fillId="4" borderId="0" xfId="0" applyFont="1" applyFill="1" applyAlignment="1" applyProtection="1">
      <alignment horizontal="center" vertical="top" wrapText="1"/>
      <protection hidden="1"/>
    </xf>
    <xf numFmtId="0" fontId="1" fillId="0" borderId="32"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0" fillId="0" borderId="0" xfId="0" applyAlignment="1"/>
    <xf numFmtId="0" fontId="0" fillId="7" borderId="0" xfId="0" applyFill="1" applyAlignment="1"/>
    <xf numFmtId="0" fontId="4" fillId="2" borderId="0" xfId="0" applyFont="1" applyFill="1" applyAlignment="1" applyProtection="1">
      <alignment vertical="center"/>
      <protection hidden="1"/>
    </xf>
    <xf numFmtId="7" fontId="6" fillId="0" borderId="0" xfId="2" applyNumberFormat="1" applyFont="1" applyFill="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0" borderId="0" xfId="0" applyFont="1" applyAlignment="1">
      <alignment horizontal="center"/>
    </xf>
    <xf numFmtId="0" fontId="0" fillId="0" borderId="0" xfId="0" applyAlignment="1">
      <alignment vertical="top"/>
    </xf>
    <xf numFmtId="194" fontId="6" fillId="0" borderId="5" xfId="2" applyNumberFormat="1" applyFont="1" applyFill="1" applyBorder="1" applyAlignment="1" applyProtection="1">
      <alignment horizontal="center" vertical="center"/>
      <protection hidden="1"/>
    </xf>
    <xf numFmtId="7" fontId="6" fillId="0" borderId="5" xfId="2" applyNumberFormat="1" applyFont="1" applyFill="1" applyBorder="1" applyAlignment="1" applyProtection="1">
      <alignment horizontal="center" vertical="center"/>
      <protection hidden="1"/>
    </xf>
    <xf numFmtId="194" fontId="6" fillId="0" borderId="0" xfId="2" applyNumberFormat="1" applyFont="1" applyFill="1" applyBorder="1" applyAlignment="1" applyProtection="1">
      <alignment horizontal="center" vertical="center"/>
      <protection hidden="1"/>
    </xf>
    <xf numFmtId="0" fontId="6" fillId="0" borderId="67" xfId="0" applyFont="1" applyFill="1" applyBorder="1" applyAlignment="1" applyProtection="1">
      <alignment horizontal="center"/>
      <protection hidden="1"/>
    </xf>
    <xf numFmtId="0" fontId="6" fillId="0" borderId="33" xfId="0" applyFont="1" applyFill="1" applyBorder="1" applyAlignment="1" applyProtection="1">
      <alignment horizontal="center"/>
      <protection hidden="1"/>
    </xf>
    <xf numFmtId="7" fontId="6" fillId="0" borderId="0" xfId="2" applyNumberFormat="1" applyFont="1" applyFill="1" applyBorder="1" applyAlignment="1" applyProtection="1">
      <alignment horizontal="center" vertical="center"/>
      <protection hidden="1"/>
    </xf>
    <xf numFmtId="7" fontId="6" fillId="0" borderId="3" xfId="2" applyNumberFormat="1" applyFont="1" applyFill="1" applyBorder="1" applyAlignment="1" applyProtection="1">
      <alignment horizontal="center" vertical="center"/>
      <protection hidden="1"/>
    </xf>
    <xf numFmtId="7" fontId="6" fillId="0" borderId="1" xfId="2" applyNumberFormat="1" applyFont="1" applyFill="1" applyBorder="1" applyAlignment="1" applyProtection="1">
      <alignment horizontal="center" vertical="center"/>
      <protection hidden="1"/>
    </xf>
    <xf numFmtId="0" fontId="1" fillId="0" borderId="0" xfId="0" applyFont="1" applyFill="1" applyAlignment="1" applyProtection="1">
      <alignment vertical="top"/>
      <protection hidden="1"/>
    </xf>
    <xf numFmtId="194" fontId="6" fillId="0" borderId="67" xfId="2" applyNumberFormat="1" applyFont="1" applyFill="1" applyBorder="1" applyAlignment="1" applyProtection="1">
      <alignment horizontal="center" vertical="center"/>
      <protection hidden="1"/>
    </xf>
    <xf numFmtId="7" fontId="6" fillId="0" borderId="67" xfId="2" applyNumberFormat="1" applyFont="1" applyFill="1" applyBorder="1" applyAlignment="1" applyProtection="1">
      <alignment horizontal="center" vertical="center"/>
      <protection hidden="1"/>
    </xf>
    <xf numFmtId="7" fontId="6" fillId="0" borderId="33" xfId="2" applyNumberFormat="1" applyFont="1" applyFill="1" applyBorder="1" applyAlignment="1" applyProtection="1">
      <alignment horizontal="center" vertical="center"/>
      <protection hidden="1"/>
    </xf>
    <xf numFmtId="4" fontId="0" fillId="7" borderId="0" xfId="0" applyNumberFormat="1" applyFill="1" applyAlignment="1">
      <alignment horizontal="center"/>
    </xf>
    <xf numFmtId="0" fontId="2" fillId="7" borderId="2" xfId="0" applyFont="1" applyFill="1" applyBorder="1" applyAlignment="1" applyProtection="1">
      <alignment horizontal="right"/>
      <protection hidden="1"/>
    </xf>
    <xf numFmtId="0" fontId="0" fillId="0" borderId="0" xfId="0" applyAlignment="1">
      <alignment horizontal="right"/>
    </xf>
    <xf numFmtId="0" fontId="0" fillId="0" borderId="3" xfId="0" applyBorder="1" applyAlignment="1">
      <alignment horizontal="right"/>
    </xf>
    <xf numFmtId="43" fontId="4" fillId="2" borderId="0" xfId="0" applyNumberFormat="1" applyFont="1" applyFill="1" applyBorder="1" applyAlignment="1" applyProtection="1">
      <alignment wrapText="1"/>
      <protection hidden="1"/>
    </xf>
    <xf numFmtId="0" fontId="4" fillId="2" borderId="0" xfId="0" applyFont="1" applyFill="1" applyAlignment="1" applyProtection="1">
      <alignment wrapText="1"/>
      <protection hidden="1"/>
    </xf>
    <xf numFmtId="0" fontId="4" fillId="2" borderId="5" xfId="0" applyFont="1" applyFill="1" applyBorder="1" applyAlignment="1" applyProtection="1">
      <alignment wrapText="1"/>
      <protection hidden="1"/>
    </xf>
    <xf numFmtId="43" fontId="4" fillId="2" borderId="0" xfId="2" applyNumberFormat="1" applyFont="1" applyFill="1" applyBorder="1" applyAlignment="1" applyProtection="1">
      <alignment vertical="center" wrapText="1"/>
      <protection hidden="1"/>
    </xf>
    <xf numFmtId="0" fontId="0" fillId="2" borderId="0" xfId="0" applyFill="1" applyAlignment="1">
      <alignment vertical="center" wrapText="1"/>
    </xf>
    <xf numFmtId="0" fontId="1" fillId="2" borderId="4"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179" fontId="17" fillId="2" borderId="30" xfId="0" applyNumberFormat="1" applyFont="1" applyFill="1" applyBorder="1" applyAlignment="1" applyProtection="1">
      <alignment horizontal="center"/>
      <protection hidden="1"/>
    </xf>
    <xf numFmtId="179" fontId="17" fillId="2" borderId="28" xfId="0" applyNumberFormat="1" applyFont="1" applyFill="1" applyBorder="1" applyAlignment="1" applyProtection="1">
      <alignment horizontal="center"/>
      <protection hidden="1"/>
    </xf>
    <xf numFmtId="0" fontId="8" fillId="2" borderId="0" xfId="0" applyFont="1" applyFill="1" applyAlignment="1" applyProtection="1">
      <protection hidden="1"/>
    </xf>
    <xf numFmtId="1" fontId="4" fillId="9" borderId="30" xfId="0" applyNumberFormat="1" applyFont="1" applyFill="1" applyBorder="1" applyAlignment="1" applyProtection="1">
      <alignment horizontal="center"/>
      <protection locked="0"/>
    </xf>
    <xf numFmtId="1" fontId="4" fillId="9" borderId="29" xfId="0" applyNumberFormat="1" applyFont="1" applyFill="1" applyBorder="1" applyAlignment="1" applyProtection="1">
      <alignment horizontal="center"/>
      <protection locked="0"/>
    </xf>
    <xf numFmtId="0" fontId="0" fillId="9" borderId="28" xfId="0" applyFill="1" applyBorder="1" applyAlignment="1" applyProtection="1">
      <protection locked="0"/>
    </xf>
    <xf numFmtId="0" fontId="15" fillId="2" borderId="0" xfId="0" applyFont="1" applyFill="1" applyAlignment="1" applyProtection="1">
      <alignment horizontal="left" vertical="top" wrapText="1"/>
      <protection hidden="1"/>
    </xf>
    <xf numFmtId="0" fontId="2" fillId="2" borderId="2" xfId="0" applyFont="1" applyFill="1" applyBorder="1" applyAlignment="1" applyProtection="1">
      <alignment horizontal="center"/>
      <protection hidden="1"/>
    </xf>
    <xf numFmtId="0" fontId="0" fillId="0" borderId="0" xfId="0" applyAlignment="1">
      <alignment horizontal="center"/>
    </xf>
    <xf numFmtId="0" fontId="2" fillId="2" borderId="0" xfId="0" applyFont="1" applyFill="1" applyBorder="1" applyAlignment="1" applyProtection="1">
      <alignment vertical="center"/>
      <protection hidden="1"/>
    </xf>
    <xf numFmtId="0" fontId="0" fillId="0" borderId="0" xfId="0" applyBorder="1" applyAlignment="1">
      <alignment vertical="center"/>
    </xf>
    <xf numFmtId="0" fontId="0" fillId="0" borderId="3" xfId="0" applyBorder="1" applyAlignment="1">
      <alignment vertical="center"/>
    </xf>
    <xf numFmtId="43" fontId="2" fillId="0" borderId="30" xfId="0" applyNumberFormat="1" applyFont="1" applyFill="1" applyBorder="1" applyAlignment="1" applyProtection="1"/>
    <xf numFmtId="0" fontId="0" fillId="0" borderId="29" xfId="0" applyFill="1" applyBorder="1" applyAlignment="1" applyProtection="1"/>
    <xf numFmtId="0" fontId="0" fillId="0" borderId="28" xfId="0" applyFill="1" applyBorder="1" applyAlignment="1" applyProtection="1"/>
    <xf numFmtId="0" fontId="0" fillId="0" borderId="0" xfId="0" applyAlignment="1" applyProtection="1">
      <protection hidden="1"/>
    </xf>
    <xf numFmtId="0" fontId="0" fillId="0" borderId="3" xfId="0" applyBorder="1" applyAlignment="1" applyProtection="1">
      <protection hidden="1"/>
    </xf>
    <xf numFmtId="0" fontId="1" fillId="2" borderId="30" xfId="0" applyFon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14" fontId="0" fillId="2" borderId="26" xfId="0" applyNumberFormat="1" applyFill="1" applyBorder="1" applyAlignment="1" applyProtection="1">
      <alignment horizontal="center" vertical="top"/>
      <protection hidden="1"/>
    </xf>
    <xf numFmtId="0" fontId="0" fillId="2" borderId="26" xfId="0" applyFill="1" applyBorder="1" applyAlignment="1" applyProtection="1">
      <protection hidden="1"/>
    </xf>
    <xf numFmtId="9" fontId="2" fillId="2" borderId="4" xfId="6" applyNumberFormat="1"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54" xfId="0" applyFont="1" applyFill="1" applyBorder="1" applyAlignment="1" applyProtection="1">
      <protection locked="0"/>
    </xf>
    <xf numFmtId="0" fontId="0" fillId="0" borderId="55" xfId="0" applyBorder="1" applyAlignment="1" applyProtection="1">
      <protection locked="0"/>
    </xf>
    <xf numFmtId="0" fontId="0" fillId="0" borderId="56" xfId="0" applyBorder="1" applyAlignment="1" applyProtection="1">
      <protection locked="0"/>
    </xf>
    <xf numFmtId="0" fontId="2" fillId="2" borderId="0" xfId="0" applyFont="1" applyFill="1" applyBorder="1" applyAlignment="1" applyProtection="1">
      <protection hidden="1"/>
    </xf>
    <xf numFmtId="0" fontId="0" fillId="0" borderId="0" xfId="0" applyAlignment="1"/>
    <xf numFmtId="10" fontId="2" fillId="2" borderId="5" xfId="0" applyNumberFormat="1" applyFont="1" applyFill="1" applyBorder="1" applyAlignment="1" applyProtection="1">
      <protection hidden="1"/>
    </xf>
    <xf numFmtId="0" fontId="2" fillId="9" borderId="30" xfId="0" applyFont="1" applyFill="1" applyBorder="1" applyAlignment="1" applyProtection="1">
      <alignment horizontal="left" vertical="top" wrapText="1"/>
      <protection locked="0"/>
    </xf>
    <xf numFmtId="0" fontId="0" fillId="9" borderId="29" xfId="0" applyFill="1" applyBorder="1" applyAlignment="1" applyProtection="1">
      <alignment vertical="top" wrapText="1"/>
      <protection locked="0"/>
    </xf>
    <xf numFmtId="0" fontId="0" fillId="9" borderId="28" xfId="0" applyFill="1" applyBorder="1" applyAlignment="1" applyProtection="1">
      <alignment vertical="top" wrapText="1"/>
      <protection locked="0"/>
    </xf>
    <xf numFmtId="0" fontId="2" fillId="7" borderId="0" xfId="0" applyFont="1" applyFill="1" applyAlignment="1">
      <alignment horizontal="left" vertical="top"/>
    </xf>
    <xf numFmtId="0" fontId="2" fillId="7" borderId="3" xfId="0" applyFont="1" applyFill="1" applyBorder="1" applyAlignment="1">
      <alignment horizontal="left" vertical="top"/>
    </xf>
    <xf numFmtId="0" fontId="0" fillId="7" borderId="29" xfId="0" applyFill="1" applyBorder="1" applyAlignment="1">
      <alignment vertical="top"/>
    </xf>
    <xf numFmtId="0" fontId="44" fillId="0" borderId="2" xfId="0" applyFont="1" applyBorder="1" applyAlignment="1">
      <alignment wrapText="1"/>
    </xf>
    <xf numFmtId="0" fontId="44" fillId="0" borderId="0" xfId="0" applyFont="1" applyBorder="1" applyAlignment="1">
      <alignment wrapText="1"/>
    </xf>
    <xf numFmtId="180" fontId="0" fillId="0" borderId="5" xfId="0" applyNumberFormat="1" applyFill="1" applyBorder="1" applyAlignment="1" applyProtection="1">
      <alignment horizontal="center"/>
      <protection hidden="1"/>
    </xf>
    <xf numFmtId="0" fontId="2" fillId="7" borderId="0" xfId="0" applyFont="1" applyFill="1" applyAlignment="1">
      <alignment horizontal="left"/>
    </xf>
    <xf numFmtId="178" fontId="2" fillId="7" borderId="2" xfId="0" applyNumberFormat="1" applyFont="1" applyFill="1" applyBorder="1" applyAlignment="1" applyProtection="1">
      <alignment horizontal="left"/>
      <protection hidden="1"/>
    </xf>
    <xf numFmtId="0" fontId="0" fillId="0" borderId="0" xfId="0" applyAlignment="1">
      <alignment horizontal="left"/>
    </xf>
    <xf numFmtId="0" fontId="2" fillId="2" borderId="2" xfId="0" applyFont="1" applyFill="1" applyBorder="1" applyAlignment="1" applyProtection="1">
      <protection hidden="1"/>
    </xf>
    <xf numFmtId="0" fontId="2" fillId="0" borderId="0" xfId="0" applyFont="1" applyAlignment="1" applyProtection="1">
      <protection hidden="1"/>
    </xf>
    <xf numFmtId="0" fontId="2" fillId="2" borderId="48" xfId="0" applyFont="1" applyFill="1" applyBorder="1" applyAlignment="1" applyProtection="1">
      <protection locked="0"/>
    </xf>
    <xf numFmtId="0" fontId="0" fillId="0" borderId="49" xfId="0" applyBorder="1" applyAlignment="1" applyProtection="1">
      <protection locked="0"/>
    </xf>
    <xf numFmtId="0" fontId="0" fillId="0" borderId="50" xfId="0" applyBorder="1" applyAlignment="1" applyProtection="1">
      <protection locked="0"/>
    </xf>
    <xf numFmtId="0" fontId="2" fillId="2" borderId="51" xfId="0" applyFont="1" applyFill="1" applyBorder="1" applyAlignment="1" applyProtection="1">
      <protection locked="0"/>
    </xf>
    <xf numFmtId="0" fontId="0" fillId="0" borderId="52" xfId="0" applyBorder="1" applyAlignment="1" applyProtection="1">
      <protection locked="0"/>
    </xf>
    <xf numFmtId="0" fontId="0" fillId="0" borderId="53" xfId="0" applyBorder="1" applyAlignment="1" applyProtection="1">
      <protection locked="0"/>
    </xf>
    <xf numFmtId="0" fontId="2" fillId="7" borderId="0" xfId="0" applyFont="1" applyFill="1" applyBorder="1" applyAlignment="1" applyProtection="1">
      <alignment horizontal="left"/>
      <protection hidden="1"/>
    </xf>
    <xf numFmtId="0" fontId="0" fillId="0" borderId="3" xfId="0" applyBorder="1" applyAlignment="1"/>
    <xf numFmtId="44" fontId="2" fillId="8" borderId="30" xfId="0" applyNumberFormat="1" applyFont="1" applyFill="1" applyBorder="1" applyAlignment="1" applyProtection="1">
      <alignment horizontal="left"/>
      <protection locked="0"/>
    </xf>
    <xf numFmtId="0" fontId="0" fillId="8" borderId="29" xfId="0" applyFill="1" applyBorder="1" applyAlignment="1" applyProtection="1">
      <alignment horizontal="left"/>
      <protection locked="0"/>
    </xf>
    <xf numFmtId="0" fontId="0" fillId="8" borderId="28" xfId="0" applyFill="1" applyBorder="1" applyAlignment="1" applyProtection="1">
      <alignment horizontal="left"/>
      <protection locked="0"/>
    </xf>
    <xf numFmtId="0" fontId="2" fillId="0" borderId="0" xfId="0" applyFont="1" applyFill="1" applyAlignment="1" applyProtection="1">
      <protection hidden="1"/>
    </xf>
    <xf numFmtId="0" fontId="0" fillId="7" borderId="0" xfId="0" applyFill="1" applyAlignment="1" applyProtection="1">
      <protection hidden="1"/>
    </xf>
    <xf numFmtId="0" fontId="0" fillId="7" borderId="0" xfId="0" applyFill="1" applyAlignment="1"/>
    <xf numFmtId="0" fontId="1" fillId="7" borderId="0" xfId="0" applyFont="1" applyFill="1" applyBorder="1" applyAlignment="1" applyProtection="1">
      <protection hidden="1"/>
    </xf>
    <xf numFmtId="0" fontId="0" fillId="7" borderId="0" xfId="0" applyFill="1" applyBorder="1" applyAlignment="1" applyProtection="1">
      <protection hidden="1"/>
    </xf>
    <xf numFmtId="0" fontId="0" fillId="7" borderId="45" xfId="0" applyFill="1" applyBorder="1" applyAlignment="1">
      <alignment horizontal="center"/>
    </xf>
    <xf numFmtId="0" fontId="20" fillId="6" borderId="30" xfId="0" applyFont="1" applyFill="1" applyBorder="1" applyAlignment="1" applyProtection="1">
      <alignment horizontal="center" vertical="center"/>
      <protection locked="0"/>
    </xf>
    <xf numFmtId="0" fontId="20" fillId="6" borderId="29" xfId="0" applyFont="1" applyFill="1" applyBorder="1" applyAlignment="1" applyProtection="1">
      <alignment horizontal="center" vertical="center"/>
      <protection locked="0"/>
    </xf>
    <xf numFmtId="0" fontId="20" fillId="6" borderId="28" xfId="0" applyFont="1" applyFill="1" applyBorder="1" applyAlignment="1" applyProtection="1">
      <alignment horizontal="center" vertical="center"/>
      <protection locked="0"/>
    </xf>
    <xf numFmtId="168" fontId="2" fillId="6" borderId="30" xfId="0" applyNumberFormat="1" applyFont="1" applyFill="1" applyBorder="1" applyAlignment="1" applyProtection="1">
      <alignment horizontal="center"/>
      <protection locked="0"/>
    </xf>
    <xf numFmtId="168" fontId="2" fillId="6" borderId="29" xfId="0" applyNumberFormat="1" applyFont="1" applyFill="1" applyBorder="1" applyAlignment="1" applyProtection="1">
      <alignment horizontal="center"/>
      <protection locked="0"/>
    </xf>
    <xf numFmtId="168" fontId="2" fillId="6" borderId="28" xfId="0" applyNumberFormat="1" applyFont="1" applyFill="1" applyBorder="1" applyAlignment="1" applyProtection="1">
      <alignment horizontal="center"/>
      <protection locked="0"/>
    </xf>
    <xf numFmtId="168" fontId="0" fillId="2" borderId="0" xfId="0" applyNumberFormat="1" applyFill="1" applyBorder="1" applyAlignment="1" applyProtection="1">
      <alignment horizontal="left"/>
      <protection hidden="1"/>
    </xf>
    <xf numFmtId="0" fontId="0" fillId="0" borderId="0" xfId="0" applyBorder="1" applyAlignment="1">
      <alignment horizontal="left"/>
    </xf>
    <xf numFmtId="0" fontId="1" fillId="7" borderId="2" xfId="0" applyFont="1" applyFill="1" applyBorder="1" applyAlignment="1" applyProtection="1">
      <protection hidden="1"/>
    </xf>
    <xf numFmtId="0" fontId="0" fillId="7" borderId="0" xfId="0" applyFill="1" applyBorder="1" applyProtection="1">
      <protection hidden="1"/>
    </xf>
    <xf numFmtId="0" fontId="1" fillId="8" borderId="30" xfId="0" applyFont="1" applyFill="1" applyBorder="1" applyAlignment="1" applyProtection="1">
      <protection locked="0"/>
    </xf>
    <xf numFmtId="0" fontId="0" fillId="8" borderId="29" xfId="0" applyFill="1" applyBorder="1" applyAlignment="1" applyProtection="1">
      <protection locked="0"/>
    </xf>
    <xf numFmtId="0" fontId="1" fillId="7" borderId="30" xfId="0" applyFont="1" applyFill="1" applyBorder="1" applyAlignment="1" applyProtection="1">
      <alignment horizontal="center"/>
      <protection hidden="1"/>
    </xf>
    <xf numFmtId="0" fontId="0" fillId="0" borderId="29" xfId="0" applyBorder="1" applyAlignment="1" applyProtection="1">
      <protection hidden="1"/>
    </xf>
    <xf numFmtId="0" fontId="0" fillId="0" borderId="28" xfId="0" applyBorder="1" applyAlignment="1" applyProtection="1">
      <protection hidden="1"/>
    </xf>
    <xf numFmtId="0" fontId="0" fillId="0" borderId="30" xfId="0" applyBorder="1" applyAlignment="1" applyProtection="1">
      <protection hidden="1"/>
    </xf>
    <xf numFmtId="0" fontId="1" fillId="7" borderId="26" xfId="0" applyFont="1" applyFill="1" applyBorder="1" applyAlignment="1" applyProtection="1">
      <protection hidden="1"/>
    </xf>
    <xf numFmtId="0" fontId="0" fillId="0" borderId="26" xfId="0" applyBorder="1" applyAlignment="1" applyProtection="1">
      <protection hidden="1"/>
    </xf>
    <xf numFmtId="0" fontId="1" fillId="7" borderId="2" xfId="0" applyFont="1" applyFill="1" applyBorder="1" applyAlignment="1" applyProtection="1">
      <alignment horizontal="right"/>
      <protection hidden="1"/>
    </xf>
    <xf numFmtId="0" fontId="0" fillId="7" borderId="0" xfId="0" applyFill="1" applyBorder="1" applyAlignment="1" applyProtection="1">
      <alignment horizontal="right"/>
      <protection hidden="1"/>
    </xf>
    <xf numFmtId="168" fontId="1" fillId="6" borderId="26" xfId="0" applyNumberFormat="1" applyFont="1" applyFill="1" applyBorder="1" applyAlignment="1" applyProtection="1">
      <alignment horizontal="center"/>
      <protection locked="0"/>
    </xf>
    <xf numFmtId="168" fontId="0" fillId="6" borderId="26" xfId="0" applyNumberFormat="1" applyFill="1" applyBorder="1" applyAlignment="1" applyProtection="1">
      <alignment horizontal="center"/>
      <protection locked="0"/>
    </xf>
    <xf numFmtId="0" fontId="0" fillId="6" borderId="26" xfId="0" applyFill="1" applyBorder="1" applyAlignment="1" applyProtection="1">
      <protection locked="0"/>
    </xf>
    <xf numFmtId="0" fontId="1" fillId="7" borderId="26" xfId="0" applyFont="1" applyFill="1" applyBorder="1" applyAlignment="1" applyProtection="1">
      <alignment horizontal="center"/>
      <protection hidden="1"/>
    </xf>
    <xf numFmtId="0" fontId="0" fillId="0" borderId="26" xfId="0" applyBorder="1" applyAlignment="1" applyProtection="1">
      <alignment horizontal="center"/>
      <protection hidden="1"/>
    </xf>
    <xf numFmtId="168" fontId="4" fillId="7" borderId="26" xfId="0" applyNumberFormat="1" applyFont="1" applyFill="1" applyBorder="1" applyAlignment="1" applyProtection="1">
      <alignment horizontal="center"/>
      <protection hidden="1"/>
    </xf>
    <xf numFmtId="168" fontId="0" fillId="7" borderId="26" xfId="0" applyNumberFormat="1" applyFill="1" applyBorder="1" applyAlignment="1">
      <alignment horizontal="center"/>
    </xf>
    <xf numFmtId="0" fontId="1" fillId="10" borderId="28" xfId="0" applyFont="1" applyFill="1" applyBorder="1" applyAlignment="1" applyProtection="1">
      <alignment horizontal="center"/>
      <protection hidden="1"/>
    </xf>
    <xf numFmtId="0" fontId="1" fillId="10" borderId="26"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164" fontId="4" fillId="6" borderId="26" xfId="0" applyNumberFormat="1" applyFont="1" applyFill="1" applyBorder="1" applyAlignment="1" applyProtection="1">
      <alignment horizontal="center"/>
      <protection locked="0"/>
    </xf>
    <xf numFmtId="0" fontId="2" fillId="6" borderId="30" xfId="0" applyFont="1" applyFill="1" applyBorder="1" applyAlignment="1" applyProtection="1">
      <alignment horizontal="center"/>
      <protection hidden="1"/>
    </xf>
    <xf numFmtId="0" fontId="0" fillId="6" borderId="29" xfId="0" applyFill="1" applyBorder="1" applyAlignment="1" applyProtection="1">
      <alignment horizontal="center"/>
      <protection hidden="1"/>
    </xf>
    <xf numFmtId="0" fontId="0" fillId="6" borderId="28" xfId="0" applyFill="1" applyBorder="1" applyAlignment="1" applyProtection="1">
      <alignment horizontal="center"/>
      <protection hidden="1"/>
    </xf>
    <xf numFmtId="0" fontId="0" fillId="7" borderId="4" xfId="0" applyFill="1" applyBorder="1" applyAlignment="1" applyProtection="1">
      <protection hidden="1"/>
    </xf>
    <xf numFmtId="0" fontId="0" fillId="0" borderId="5" xfId="0" applyBorder="1" applyAlignment="1" applyProtection="1">
      <protection hidden="1"/>
    </xf>
    <xf numFmtId="0" fontId="0" fillId="0" borderId="1" xfId="0" applyBorder="1" applyAlignment="1" applyProtection="1">
      <protection hidden="1"/>
    </xf>
    <xf numFmtId="0" fontId="1" fillId="7" borderId="0" xfId="0" applyFont="1" applyFill="1" applyAlignment="1">
      <alignment vertical="top" wrapText="1"/>
    </xf>
    <xf numFmtId="0" fontId="0" fillId="7" borderId="0" xfId="0" applyFill="1" applyAlignment="1">
      <alignment vertical="top" wrapText="1"/>
    </xf>
    <xf numFmtId="180" fontId="2" fillId="0" borderId="30" xfId="0" applyNumberFormat="1" applyFont="1" applyFill="1" applyBorder="1" applyAlignment="1" applyProtection="1">
      <alignment horizontal="center"/>
      <protection locked="0"/>
    </xf>
    <xf numFmtId="180" fontId="0" fillId="0" borderId="29" xfId="0" applyNumberFormat="1" applyFill="1" applyBorder="1" applyAlignment="1" applyProtection="1">
      <alignment horizontal="center"/>
      <protection locked="0"/>
    </xf>
    <xf numFmtId="180" fontId="0" fillId="0" borderId="28" xfId="0" applyNumberForma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2" fillId="7" borderId="2" xfId="0" applyFont="1" applyFill="1" applyBorder="1" applyAlignment="1">
      <alignment horizontal="left"/>
    </xf>
    <xf numFmtId="0" fontId="0" fillId="7" borderId="0" xfId="0" applyFill="1" applyBorder="1" applyAlignment="1"/>
    <xf numFmtId="0" fontId="0" fillId="0" borderId="0" xfId="0" applyBorder="1" applyAlignment="1"/>
    <xf numFmtId="0" fontId="2" fillId="2" borderId="30" xfId="0" applyFont="1" applyFill="1" applyBorder="1" applyAlignment="1" applyProtection="1">
      <alignment horizontal="center" vertical="top" wrapText="1"/>
      <protection hidden="1"/>
    </xf>
    <xf numFmtId="0" fontId="4" fillId="2" borderId="29" xfId="0" applyFont="1" applyFill="1" applyBorder="1" applyAlignment="1" applyProtection="1">
      <alignment vertical="top" wrapText="1"/>
      <protection hidden="1"/>
    </xf>
    <xf numFmtId="0" fontId="4" fillId="2" borderId="29" xfId="0" applyFont="1" applyFill="1" applyBorder="1" applyAlignment="1"/>
    <xf numFmtId="0" fontId="0" fillId="2" borderId="29" xfId="0" applyFill="1" applyBorder="1" applyAlignment="1"/>
    <xf numFmtId="0" fontId="0" fillId="2" borderId="28" xfId="0" applyFill="1" applyBorder="1" applyAlignment="1"/>
    <xf numFmtId="180" fontId="2" fillId="0" borderId="30" xfId="0" applyNumberFormat="1" applyFont="1" applyFill="1" applyBorder="1" applyAlignment="1" applyProtection="1">
      <alignment horizontal="center"/>
      <protection hidden="1"/>
    </xf>
    <xf numFmtId="180" fontId="2" fillId="0" borderId="29" xfId="0" applyNumberFormat="1" applyFont="1" applyFill="1" applyBorder="1" applyAlignment="1" applyProtection="1">
      <alignment horizontal="center"/>
      <protection hidden="1"/>
    </xf>
    <xf numFmtId="180" fontId="0" fillId="0" borderId="28" xfId="0" applyNumberForma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168" fontId="2" fillId="0" borderId="30" xfId="0" applyNumberFormat="1" applyFont="1" applyFill="1" applyBorder="1" applyAlignment="1" applyProtection="1">
      <alignment horizontal="center"/>
      <protection locked="0"/>
    </xf>
    <xf numFmtId="168" fontId="2" fillId="0" borderId="29" xfId="0" applyNumberFormat="1" applyFont="1" applyFill="1" applyBorder="1" applyAlignment="1" applyProtection="1">
      <alignment horizontal="center"/>
      <protection locked="0"/>
    </xf>
    <xf numFmtId="168" fontId="2" fillId="0" borderId="28" xfId="0" applyNumberFormat="1" applyFont="1" applyFill="1" applyBorder="1" applyAlignment="1" applyProtection="1">
      <alignment horizontal="center"/>
      <protection locked="0"/>
    </xf>
    <xf numFmtId="0" fontId="0" fillId="2" borderId="0" xfId="0" applyFill="1" applyBorder="1" applyAlignment="1">
      <alignment vertical="center"/>
    </xf>
    <xf numFmtId="43" fontId="2" fillId="2" borderId="0" xfId="1" applyFont="1" applyFill="1" applyBorder="1" applyAlignment="1" applyProtection="1">
      <alignment vertical="center"/>
      <protection hidden="1"/>
    </xf>
    <xf numFmtId="14" fontId="2" fillId="2" borderId="32" xfId="0" applyNumberFormat="1" applyFont="1" applyFill="1" applyBorder="1" applyAlignment="1" applyProtection="1">
      <alignment horizontal="center" vertical="center" wrapText="1"/>
      <protection hidden="1"/>
    </xf>
    <xf numFmtId="0" fontId="0" fillId="2" borderId="45" xfId="0" applyFill="1" applyBorder="1" applyAlignment="1">
      <alignment horizontal="center" vertical="center"/>
    </xf>
    <xf numFmtId="0" fontId="0" fillId="2" borderId="33" xfId="0" applyFill="1" applyBorder="1" applyAlignment="1">
      <alignment horizontal="center" vertical="center"/>
    </xf>
    <xf numFmtId="0" fontId="0" fillId="2" borderId="4" xfId="0" applyFill="1" applyBorder="1" applyAlignment="1" applyProtection="1">
      <alignment horizontal="center" vertical="center" wrapText="1"/>
      <protection hidden="1"/>
    </xf>
    <xf numFmtId="0" fontId="0" fillId="2" borderId="5" xfId="0" applyFill="1" applyBorder="1" applyAlignment="1">
      <alignment horizontal="center" vertical="center"/>
    </xf>
    <xf numFmtId="0" fontId="0" fillId="2" borderId="1" xfId="0" applyFill="1" applyBorder="1" applyAlignment="1">
      <alignment horizontal="center" vertical="center"/>
    </xf>
    <xf numFmtId="164" fontId="4" fillId="7" borderId="26" xfId="0" applyNumberFormat="1" applyFont="1" applyFill="1" applyBorder="1" applyAlignment="1" applyProtection="1">
      <alignment horizontal="center"/>
      <protection hidden="1"/>
    </xf>
    <xf numFmtId="164" fontId="0" fillId="7" borderId="26" xfId="0" applyNumberFormat="1" applyFill="1" applyBorder="1" applyAlignment="1">
      <alignment horizontal="center"/>
    </xf>
    <xf numFmtId="0" fontId="4" fillId="7" borderId="29" xfId="0" applyFont="1" applyFill="1" applyBorder="1" applyAlignment="1" applyProtection="1">
      <alignment horizontal="center"/>
      <protection hidden="1"/>
    </xf>
    <xf numFmtId="0" fontId="0" fillId="7" borderId="29" xfId="0" applyFill="1" applyBorder="1" applyAlignment="1" applyProtection="1">
      <alignment horizontal="center"/>
      <protection hidden="1"/>
    </xf>
    <xf numFmtId="0" fontId="0" fillId="7" borderId="46" xfId="0" applyFill="1" applyBorder="1" applyAlignment="1" applyProtection="1">
      <alignment horizontal="center"/>
      <protection hidden="1"/>
    </xf>
    <xf numFmtId="43" fontId="4" fillId="2" borderId="29" xfId="0" applyNumberFormat="1" applyFont="1" applyFill="1" applyBorder="1" applyAlignment="1" applyProtection="1">
      <protection hidden="1"/>
    </xf>
    <xf numFmtId="43" fontId="0" fillId="2" borderId="29" xfId="0" applyNumberFormat="1" applyFill="1" applyBorder="1"/>
    <xf numFmtId="0" fontId="2" fillId="2" borderId="0" xfId="0" applyFont="1" applyFill="1" applyAlignment="1" applyProtection="1">
      <protection hidden="1"/>
    </xf>
    <xf numFmtId="0" fontId="4" fillId="2" borderId="0" xfId="0" applyFont="1" applyFill="1" applyAlignment="1" applyProtection="1">
      <protection hidden="1"/>
    </xf>
    <xf numFmtId="0" fontId="0" fillId="2" borderId="0" xfId="0" applyFill="1" applyAlignment="1" applyProtection="1">
      <protection hidden="1"/>
    </xf>
    <xf numFmtId="0" fontId="0" fillId="7" borderId="26" xfId="0" applyFill="1" applyBorder="1" applyAlignment="1"/>
    <xf numFmtId="0" fontId="0" fillId="7" borderId="30" xfId="0" applyFill="1" applyBorder="1" applyAlignment="1"/>
    <xf numFmtId="0" fontId="0" fillId="7" borderId="3" xfId="0" applyFill="1" applyBorder="1" applyAlignment="1" applyProtection="1">
      <alignment horizontal="right"/>
      <protection hidden="1"/>
    </xf>
    <xf numFmtId="0" fontId="20" fillId="6" borderId="30" xfId="0" applyFont="1" applyFill="1" applyBorder="1" applyAlignment="1" applyProtection="1">
      <protection locked="0"/>
    </xf>
    <xf numFmtId="0" fontId="30" fillId="0" borderId="29" xfId="0" applyFont="1" applyBorder="1" applyAlignment="1" applyProtection="1">
      <protection locked="0"/>
    </xf>
    <xf numFmtId="0" fontId="0" fillId="0" borderId="28" xfId="0" applyBorder="1" applyAlignment="1" applyProtection="1">
      <protection locked="0"/>
    </xf>
    <xf numFmtId="0" fontId="1" fillId="7" borderId="32" xfId="0" applyFont="1" applyFill="1" applyBorder="1" applyAlignment="1" applyProtection="1">
      <protection hidden="1"/>
    </xf>
    <xf numFmtId="0" fontId="0" fillId="0" borderId="45" xfId="0" applyBorder="1" applyAlignment="1"/>
    <xf numFmtId="0" fontId="0" fillId="0" borderId="33" xfId="0" applyBorder="1" applyAlignment="1"/>
    <xf numFmtId="0" fontId="0" fillId="7" borderId="3" xfId="0" applyFill="1" applyBorder="1" applyAlignment="1" applyProtection="1">
      <protection hidden="1"/>
    </xf>
    <xf numFmtId="0" fontId="0" fillId="0" borderId="0" xfId="0" applyBorder="1" applyAlignment="1" applyProtection="1">
      <protection hidden="1"/>
    </xf>
    <xf numFmtId="0" fontId="1" fillId="0" borderId="45" xfId="0" applyFont="1" applyFill="1" applyBorder="1" applyAlignment="1" applyProtection="1">
      <alignment horizontal="center"/>
      <protection hidden="1"/>
    </xf>
    <xf numFmtId="0" fontId="0" fillId="0" borderId="45" xfId="0" applyFill="1" applyBorder="1" applyAlignment="1" applyProtection="1">
      <alignment horizontal="center"/>
      <protection hidden="1"/>
    </xf>
    <xf numFmtId="0" fontId="0" fillId="0" borderId="33" xfId="0"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 xfId="0" applyBorder="1" applyAlignment="1" applyProtection="1">
      <alignment horizontal="center"/>
      <protection hidden="1"/>
    </xf>
    <xf numFmtId="0" fontId="2" fillId="6" borderId="30" xfId="0" applyFont="1" applyFill="1" applyBorder="1" applyAlignment="1" applyProtection="1">
      <protection locked="0"/>
    </xf>
    <xf numFmtId="0" fontId="2" fillId="6" borderId="29" xfId="0" applyFont="1" applyFill="1" applyBorder="1" applyAlignment="1" applyProtection="1">
      <protection locked="0"/>
    </xf>
    <xf numFmtId="0" fontId="2" fillId="6" borderId="28" xfId="0" applyFont="1" applyFill="1" applyBorder="1" applyAlignment="1" applyProtection="1">
      <protection locked="0"/>
    </xf>
    <xf numFmtId="0" fontId="4" fillId="0" borderId="5" xfId="0" applyFont="1" applyFill="1" applyBorder="1" applyAlignment="1" applyProtection="1">
      <protection hidden="1"/>
    </xf>
    <xf numFmtId="0" fontId="0" fillId="0" borderId="5" xfId="0" applyBorder="1" applyAlignment="1"/>
    <xf numFmtId="0" fontId="0" fillId="0" borderId="28" xfId="0" applyBorder="1" applyAlignment="1" applyProtection="1">
      <alignment horizontal="center"/>
      <protection hidden="1"/>
    </xf>
    <xf numFmtId="0" fontId="2" fillId="8" borderId="30" xfId="0" applyFont="1" applyFill="1" applyBorder="1" applyAlignment="1" applyProtection="1">
      <alignment horizontal="center"/>
      <protection hidden="1"/>
    </xf>
    <xf numFmtId="0" fontId="0" fillId="0" borderId="28" xfId="0" applyBorder="1" applyAlignment="1">
      <alignment horizontal="center"/>
    </xf>
    <xf numFmtId="0" fontId="2" fillId="9" borderId="30" xfId="0" applyFont="1" applyFill="1" applyBorder="1" applyAlignment="1" applyProtection="1">
      <alignment horizontal="center"/>
      <protection hidden="1"/>
    </xf>
    <xf numFmtId="0" fontId="0" fillId="9" borderId="28" xfId="0" applyFill="1" applyBorder="1" applyAlignment="1">
      <alignment horizontal="center"/>
    </xf>
    <xf numFmtId="0" fontId="4" fillId="7" borderId="14" xfId="0" applyFont="1" applyFill="1" applyBorder="1" applyAlignment="1" applyProtection="1">
      <protection hidden="1"/>
    </xf>
    <xf numFmtId="0" fontId="0" fillId="0" borderId="14" xfId="0" applyBorder="1" applyAlignment="1" applyProtection="1">
      <protection hidden="1"/>
    </xf>
    <xf numFmtId="0" fontId="2" fillId="7" borderId="32" xfId="0" applyFont="1" applyFill="1" applyBorder="1" applyAlignment="1" applyProtection="1">
      <protection hidden="1"/>
    </xf>
    <xf numFmtId="0" fontId="0" fillId="0" borderId="45" xfId="0" applyBorder="1" applyAlignment="1" applyProtection="1">
      <protection hidden="1"/>
    </xf>
    <xf numFmtId="0" fontId="0" fillId="0" borderId="33" xfId="0" applyBorder="1" applyAlignment="1" applyProtection="1">
      <protection hidden="1"/>
    </xf>
    <xf numFmtId="0" fontId="2" fillId="7" borderId="30" xfId="0" applyFont="1" applyFill="1" applyBorder="1" applyAlignment="1" applyProtection="1">
      <protection hidden="1"/>
    </xf>
    <xf numFmtId="0" fontId="0" fillId="0" borderId="29" xfId="0" applyBorder="1" applyAlignment="1"/>
    <xf numFmtId="0" fontId="0" fillId="0" borderId="28" xfId="0" applyBorder="1" applyAlignment="1"/>
    <xf numFmtId="0" fontId="0" fillId="2" borderId="0" xfId="0" applyFill="1" applyAlignment="1"/>
    <xf numFmtId="0" fontId="8" fillId="2" borderId="0" xfId="0" applyFont="1" applyFill="1" applyAlignment="1" applyProtection="1">
      <alignment horizontal="right"/>
      <protection hidden="1"/>
    </xf>
    <xf numFmtId="0" fontId="0" fillId="2" borderId="0" xfId="0" applyFill="1" applyAlignment="1" applyProtection="1">
      <alignment horizontal="right"/>
      <protection hidden="1"/>
    </xf>
    <xf numFmtId="43" fontId="2" fillId="2" borderId="31" xfId="0" applyNumberFormat="1" applyFont="1" applyFill="1" applyBorder="1" applyAlignment="1" applyProtection="1">
      <protection hidden="1"/>
    </xf>
    <xf numFmtId="2" fontId="7" fillId="2" borderId="32" xfId="0" applyNumberFormat="1"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167" fontId="4" fillId="3" borderId="29" xfId="0" applyNumberFormat="1" applyFont="1" applyFill="1" applyBorder="1" applyAlignment="1" applyProtection="1">
      <protection locked="0" hidden="1"/>
    </xf>
    <xf numFmtId="43" fontId="13" fillId="2" borderId="0" xfId="2" applyNumberFormat="1" applyFont="1" applyFill="1" applyBorder="1" applyAlignment="1" applyProtection="1">
      <alignment horizontal="right" wrapText="1"/>
      <protection hidden="1"/>
    </xf>
    <xf numFmtId="43" fontId="2" fillId="2" borderId="0" xfId="2" applyNumberFormat="1" applyFont="1" applyFill="1" applyBorder="1" applyAlignment="1" applyProtection="1">
      <protection hidden="1"/>
    </xf>
    <xf numFmtId="43" fontId="4" fillId="2" borderId="0" xfId="0" applyNumberFormat="1" applyFont="1" applyFill="1" applyAlignment="1" applyProtection="1">
      <protection hidden="1"/>
    </xf>
    <xf numFmtId="43" fontId="4" fillId="2" borderId="5" xfId="0" applyNumberFormat="1" applyFont="1" applyFill="1" applyBorder="1" applyAlignment="1" applyProtection="1">
      <protection hidden="1"/>
    </xf>
    <xf numFmtId="0" fontId="10" fillId="2" borderId="0" xfId="0" applyFont="1" applyFill="1" applyAlignment="1" applyProtection="1">
      <alignment horizontal="center" vertical="center"/>
      <protection hidden="1"/>
    </xf>
    <xf numFmtId="0" fontId="4" fillId="2" borderId="0" xfId="0" applyFont="1" applyFill="1" applyAlignment="1" applyProtection="1">
      <alignment vertical="center"/>
      <protection hidden="1"/>
    </xf>
    <xf numFmtId="1" fontId="2" fillId="2" borderId="29" xfId="0" applyNumberFormat="1" applyFont="1" applyFill="1" applyBorder="1" applyAlignment="1" applyProtection="1">
      <alignment horizontal="left"/>
      <protection hidden="1"/>
    </xf>
    <xf numFmtId="1" fontId="2" fillId="2" borderId="28" xfId="0" applyNumberFormat="1" applyFont="1" applyFill="1" applyBorder="1" applyAlignment="1" applyProtection="1">
      <alignment horizontal="left"/>
      <protection hidden="1"/>
    </xf>
    <xf numFmtId="0" fontId="0" fillId="2" borderId="0" xfId="0" applyFill="1"/>
    <xf numFmtId="0" fontId="4" fillId="2" borderId="2" xfId="0" applyNumberFormat="1" applyFont="1" applyFill="1" applyBorder="1" applyAlignment="1" applyProtection="1">
      <protection hidden="1"/>
    </xf>
    <xf numFmtId="43" fontId="4" fillId="2" borderId="5" xfId="0" applyNumberFormat="1" applyFont="1" applyFill="1" applyBorder="1" applyAlignment="1" applyProtection="1">
      <alignment horizontal="center"/>
      <protection hidden="1"/>
    </xf>
    <xf numFmtId="43" fontId="4" fillId="3" borderId="29" xfId="0" applyNumberFormat="1" applyFont="1" applyFill="1" applyBorder="1" applyAlignment="1" applyProtection="1">
      <protection locked="0" hidden="1"/>
    </xf>
    <xf numFmtId="0" fontId="4" fillId="7" borderId="45" xfId="0" applyFont="1" applyFill="1" applyBorder="1" applyAlignment="1" applyProtection="1">
      <protection hidden="1"/>
    </xf>
    <xf numFmtId="0" fontId="0" fillId="7" borderId="45" xfId="0" applyFill="1" applyBorder="1" applyAlignment="1"/>
    <xf numFmtId="0" fontId="4" fillId="2" borderId="5" xfId="0" applyFont="1" applyFill="1" applyBorder="1" applyAlignment="1" applyProtection="1">
      <alignment horizontal="center"/>
      <protection hidden="1"/>
    </xf>
    <xf numFmtId="0" fontId="4" fillId="2" borderId="5" xfId="0" applyFont="1" applyFill="1" applyBorder="1" applyAlignment="1" applyProtection="1">
      <protection hidden="1"/>
    </xf>
    <xf numFmtId="0" fontId="8"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44" fontId="2" fillId="0" borderId="4" xfId="0" applyNumberFormat="1" applyFont="1" applyFill="1" applyBorder="1" applyAlignment="1" applyProtection="1">
      <alignment horizontal="center"/>
      <protection locked="0"/>
    </xf>
    <xf numFmtId="44" fontId="2" fillId="0" borderId="5" xfId="0" applyNumberFormat="1" applyFont="1" applyFill="1" applyBorder="1" applyAlignment="1" applyProtection="1">
      <alignment horizontal="center"/>
      <protection locked="0"/>
    </xf>
    <xf numFmtId="0" fontId="0" fillId="0" borderId="1" xfId="0" applyFill="1" applyBorder="1" applyAlignment="1" applyProtection="1">
      <protection locked="0"/>
    </xf>
    <xf numFmtId="180" fontId="2" fillId="8" borderId="30" xfId="0" applyNumberFormat="1" applyFont="1" applyFill="1" applyBorder="1" applyAlignment="1" applyProtection="1">
      <alignment horizontal="center"/>
      <protection locked="0"/>
    </xf>
    <xf numFmtId="180" fontId="2" fillId="8" borderId="29" xfId="0" applyNumberFormat="1" applyFont="1" applyFill="1" applyBorder="1" applyAlignment="1" applyProtection="1">
      <alignment horizontal="center"/>
      <protection locked="0"/>
    </xf>
    <xf numFmtId="180" fontId="0" fillId="8" borderId="28" xfId="0" applyNumberFormat="1" applyFill="1" applyBorder="1" applyAlignment="1" applyProtection="1">
      <alignment horizontal="center"/>
      <protection locked="0"/>
    </xf>
    <xf numFmtId="43" fontId="4" fillId="2" borderId="27" xfId="0" applyNumberFormat="1" applyFont="1" applyFill="1" applyBorder="1" applyAlignment="1" applyProtection="1">
      <protection hidden="1"/>
    </xf>
    <xf numFmtId="0" fontId="4" fillId="2" borderId="0" xfId="0" applyFont="1" applyFill="1" applyBorder="1" applyAlignment="1" applyProtection="1">
      <protection hidden="1"/>
    </xf>
    <xf numFmtId="43" fontId="4" fillId="2" borderId="29" xfId="0" applyNumberFormat="1" applyFont="1" applyFill="1" applyBorder="1" applyAlignment="1" applyProtection="1">
      <alignment horizontal="center"/>
      <protection hidden="1"/>
    </xf>
    <xf numFmtId="1" fontId="2" fillId="2" borderId="26" xfId="0" applyNumberFormat="1" applyFont="1" applyFill="1" applyBorder="1" applyAlignment="1" applyProtection="1">
      <alignment horizontal="center"/>
      <protection hidden="1"/>
    </xf>
    <xf numFmtId="0" fontId="0" fillId="2" borderId="26" xfId="0" applyFill="1" applyBorder="1" applyAlignment="1"/>
    <xf numFmtId="9" fontId="2" fillId="2" borderId="5" xfId="6" applyNumberFormat="1" applyFont="1" applyFill="1" applyBorder="1" applyAlignment="1" applyProtection="1">
      <alignment horizontal="center"/>
      <protection hidden="1"/>
    </xf>
    <xf numFmtId="0" fontId="36" fillId="2" borderId="0" xfId="0" applyFont="1" applyFill="1" applyBorder="1" applyAlignment="1" applyProtection="1">
      <alignment horizontal="center" wrapText="1"/>
      <protection hidden="1"/>
    </xf>
    <xf numFmtId="0" fontId="0" fillId="0" borderId="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44" fontId="2" fillId="2" borderId="15" xfId="0" applyNumberFormat="1" applyFont="1" applyFill="1" applyBorder="1" applyAlignment="1" applyProtection="1">
      <protection hidden="1"/>
    </xf>
    <xf numFmtId="43" fontId="2" fillId="2" borderId="26" xfId="0" applyNumberFormat="1" applyFont="1" applyFill="1" applyBorder="1" applyAlignment="1" applyProtection="1">
      <protection locked="0"/>
    </xf>
    <xf numFmtId="43" fontId="2" fillId="2" borderId="26" xfId="0" applyNumberFormat="1" applyFont="1" applyFill="1" applyBorder="1" applyAlignment="1" applyProtection="1"/>
    <xf numFmtId="0" fontId="16" fillId="2" borderId="0" xfId="0" applyFont="1" applyFill="1" applyAlignment="1">
      <alignment horizontal="center"/>
    </xf>
    <xf numFmtId="43" fontId="2" fillId="2" borderId="5" xfId="0" applyNumberFormat="1" applyFont="1" applyFill="1" applyBorder="1" applyAlignment="1" applyProtection="1">
      <protection hidden="1"/>
    </xf>
    <xf numFmtId="43" fontId="2" fillId="2" borderId="29" xfId="0" applyNumberFormat="1" applyFont="1" applyFill="1" applyBorder="1" applyAlignment="1" applyProtection="1">
      <protection hidden="1"/>
    </xf>
    <xf numFmtId="43" fontId="4" fillId="6" borderId="5" xfId="0" applyNumberFormat="1" applyFont="1" applyFill="1" applyBorder="1" applyAlignment="1" applyProtection="1">
      <protection locked="0" hidden="1"/>
    </xf>
    <xf numFmtId="164" fontId="25" fillId="3" borderId="0" xfId="0" applyNumberFormat="1" applyFont="1" applyFill="1" applyBorder="1" applyAlignment="1" applyProtection="1">
      <alignment horizontal="center" vertical="center"/>
      <protection locked="0" hidden="1"/>
    </xf>
    <xf numFmtId="0" fontId="25" fillId="3" borderId="0" xfId="0" applyFont="1" applyFill="1" applyBorder="1" applyAlignment="1" applyProtection="1">
      <alignment vertical="center"/>
      <protection locked="0" hidden="1"/>
    </xf>
    <xf numFmtId="0" fontId="8" fillId="2" borderId="0" xfId="0" applyFont="1" applyFill="1" applyBorder="1" applyAlignment="1" applyProtection="1">
      <alignment horizontal="left"/>
      <protection hidden="1"/>
    </xf>
    <xf numFmtId="0" fontId="2" fillId="2" borderId="26" xfId="0" applyFont="1" applyFill="1" applyBorder="1" applyAlignment="1" applyProtection="1">
      <alignment horizontal="center" vertical="center" wrapText="1"/>
      <protection hidden="1"/>
    </xf>
    <xf numFmtId="0" fontId="0" fillId="2" borderId="26" xfId="0" applyFill="1" applyBorder="1" applyAlignment="1" applyProtection="1">
      <alignment horizontal="center" wrapText="1"/>
      <protection hidden="1"/>
    </xf>
    <xf numFmtId="0" fontId="0" fillId="2" borderId="26" xfId="0" applyNumberFormat="1" applyFill="1" applyBorder="1" applyAlignment="1" applyProtection="1">
      <alignment horizontal="left" vertical="center"/>
      <protection hidden="1"/>
    </xf>
    <xf numFmtId="9" fontId="2" fillId="8" borderId="30" xfId="6" applyFont="1" applyFill="1" applyBorder="1" applyAlignment="1" applyProtection="1">
      <alignment horizontal="center"/>
      <protection locked="0"/>
    </xf>
    <xf numFmtId="0" fontId="0" fillId="8" borderId="28" xfId="0" applyFill="1" applyBorder="1" applyAlignment="1" applyProtection="1">
      <protection locked="0"/>
    </xf>
    <xf numFmtId="0" fontId="4" fillId="10" borderId="26" xfId="0" applyFont="1" applyFill="1" applyBorder="1" applyAlignment="1" applyProtection="1">
      <protection hidden="1"/>
    </xf>
    <xf numFmtId="0" fontId="2" fillId="2" borderId="0" xfId="0" applyFont="1" applyFill="1" applyBorder="1" applyAlignment="1" applyProtection="1">
      <alignment horizontal="left"/>
      <protection hidden="1"/>
    </xf>
    <xf numFmtId="44" fontId="2" fillId="7" borderId="3" xfId="0" applyNumberFormat="1" applyFont="1" applyFill="1" applyBorder="1" applyAlignment="1" applyProtection="1">
      <protection hidden="1"/>
    </xf>
    <xf numFmtId="0" fontId="2" fillId="7" borderId="14" xfId="0" applyFont="1" applyFill="1" applyBorder="1" applyAlignment="1" applyProtection="1">
      <protection hidden="1"/>
    </xf>
    <xf numFmtId="43" fontId="2" fillId="8" borderId="26" xfId="0" applyNumberFormat="1" applyFont="1" applyFill="1" applyBorder="1" applyAlignment="1" applyProtection="1">
      <protection locked="0"/>
    </xf>
    <xf numFmtId="43" fontId="2" fillId="2" borderId="47" xfId="0" applyNumberFormat="1" applyFont="1" applyFill="1" applyBorder="1" applyAlignment="1" applyProtection="1">
      <protection hidden="1"/>
    </xf>
    <xf numFmtId="1" fontId="2" fillId="2" borderId="26"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vertical="center"/>
      <protection hidden="1"/>
    </xf>
    <xf numFmtId="0" fontId="2" fillId="0" borderId="0"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4" fillId="2" borderId="30"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protection hidden="1"/>
    </xf>
    <xf numFmtId="0" fontId="4" fillId="2" borderId="28" xfId="0" applyFont="1" applyFill="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0" fillId="0" borderId="0" xfId="0" applyFill="1" applyAlignment="1" applyProtection="1">
      <alignment horizontal="left" wrapText="1"/>
      <protection hidden="1"/>
    </xf>
    <xf numFmtId="0" fontId="0" fillId="0" borderId="5" xfId="0" applyFill="1" applyBorder="1" applyAlignment="1" applyProtection="1">
      <alignment horizontal="left" wrapText="1"/>
      <protection hidden="1"/>
    </xf>
    <xf numFmtId="0" fontId="2" fillId="2" borderId="0" xfId="0" applyFont="1" applyFill="1" applyAlignment="1" applyProtection="1">
      <alignment vertical="center"/>
      <protection hidden="1"/>
    </xf>
    <xf numFmtId="0" fontId="4" fillId="2" borderId="3" xfId="0" applyFont="1" applyFill="1" applyBorder="1" applyAlignment="1" applyProtection="1">
      <alignment vertical="center"/>
      <protection hidden="1"/>
    </xf>
    <xf numFmtId="4" fontId="6" fillId="3" borderId="30" xfId="0" applyNumberFormat="1" applyFont="1" applyFill="1" applyBorder="1" applyAlignment="1" applyProtection="1">
      <alignment horizontal="center" vertical="center"/>
      <protection locked="0" hidden="1"/>
    </xf>
    <xf numFmtId="4" fontId="6" fillId="3" borderId="29" xfId="0" applyNumberFormat="1" applyFont="1" applyFill="1" applyBorder="1" applyAlignment="1" applyProtection="1">
      <alignment horizontal="center" vertical="center"/>
      <protection locked="0" hidden="1"/>
    </xf>
    <xf numFmtId="4" fontId="6" fillId="3" borderId="28" xfId="0" applyNumberFormat="1" applyFont="1" applyFill="1" applyBorder="1" applyAlignment="1" applyProtection="1">
      <alignment horizontal="center" vertical="center"/>
      <protection locked="0" hidden="1"/>
    </xf>
    <xf numFmtId="0" fontId="6" fillId="2" borderId="26" xfId="0" applyFont="1" applyFill="1" applyBorder="1" applyAlignment="1" applyProtection="1">
      <alignment horizontal="right" vertical="center"/>
      <protection hidden="1"/>
    </xf>
    <xf numFmtId="1" fontId="4" fillId="2" borderId="30" xfId="0" applyNumberFormat="1" applyFont="1" applyFill="1" applyBorder="1" applyAlignment="1" applyProtection="1">
      <alignment horizontal="right"/>
      <protection hidden="1"/>
    </xf>
    <xf numFmtId="1" fontId="4" fillId="2" borderId="29" xfId="0" applyNumberFormat="1" applyFont="1" applyFill="1" applyBorder="1" applyAlignment="1" applyProtection="1">
      <alignment horizontal="right"/>
      <protection hidden="1"/>
    </xf>
    <xf numFmtId="1" fontId="4" fillId="2" borderId="28" xfId="0" applyNumberFormat="1" applyFont="1" applyFill="1" applyBorder="1" applyAlignment="1" applyProtection="1">
      <alignment horizontal="right"/>
      <protection hidden="1"/>
    </xf>
    <xf numFmtId="4" fontId="6" fillId="3" borderId="26" xfId="0" applyNumberFormat="1" applyFont="1" applyFill="1" applyBorder="1" applyAlignment="1" applyProtection="1">
      <alignment horizontal="center" vertical="center"/>
      <protection locked="0" hidden="1"/>
    </xf>
    <xf numFmtId="0" fontId="2" fillId="2" borderId="0" xfId="0" applyFont="1" applyFill="1" applyAlignment="1" applyProtection="1">
      <alignment horizontal="right"/>
      <protection hidden="1"/>
    </xf>
    <xf numFmtId="0" fontId="2" fillId="2" borderId="30" xfId="0" applyFont="1" applyFill="1" applyBorder="1" applyAlignment="1" applyProtection="1">
      <protection hidden="1"/>
    </xf>
    <xf numFmtId="0" fontId="2" fillId="2" borderId="29" xfId="0" applyFont="1" applyFill="1" applyBorder="1" applyAlignment="1" applyProtection="1">
      <protection hidden="1"/>
    </xf>
    <xf numFmtId="0" fontId="4" fillId="2" borderId="29" xfId="0" applyFont="1" applyFill="1" applyBorder="1" applyAlignment="1" applyProtection="1">
      <protection hidden="1"/>
    </xf>
    <xf numFmtId="0" fontId="4" fillId="2" borderId="0" xfId="0" applyNumberFormat="1" applyFont="1" applyFill="1" applyAlignment="1" applyProtection="1">
      <alignment horizontal="right"/>
      <protection hidden="1"/>
    </xf>
    <xf numFmtId="0" fontId="0" fillId="2" borderId="0" xfId="0" applyNumberFormat="1" applyFill="1" applyAlignment="1" applyProtection="1">
      <alignment horizontal="right"/>
      <protection hidden="1"/>
    </xf>
    <xf numFmtId="0" fontId="1" fillId="7" borderId="0" xfId="0" applyFont="1" applyFill="1" applyAlignment="1">
      <alignment wrapText="1"/>
    </xf>
    <xf numFmtId="0" fontId="0" fillId="0" borderId="0" xfId="0" applyAlignment="1">
      <alignment wrapText="1"/>
    </xf>
    <xf numFmtId="0" fontId="0" fillId="2" borderId="5" xfId="0" applyFill="1" applyBorder="1" applyAlignment="1"/>
    <xf numFmtId="0" fontId="2" fillId="2" borderId="0" xfId="0" applyFont="1" applyFill="1" applyAlignment="1" applyProtection="1">
      <alignment horizontal="left"/>
      <protection hidden="1"/>
    </xf>
    <xf numFmtId="0" fontId="2" fillId="2" borderId="2" xfId="2" applyNumberFormat="1" applyFont="1" applyFill="1" applyBorder="1" applyAlignment="1" applyProtection="1">
      <alignment horizontal="right"/>
      <protection hidden="1"/>
    </xf>
    <xf numFmtId="0" fontId="0" fillId="2" borderId="0" xfId="0" applyNumberFormat="1" applyFill="1" applyAlignment="1">
      <alignment horizontal="right"/>
    </xf>
    <xf numFmtId="0" fontId="0" fillId="2" borderId="2" xfId="0" applyNumberFormat="1" applyFill="1" applyBorder="1" applyAlignment="1">
      <alignment horizontal="right"/>
    </xf>
    <xf numFmtId="0" fontId="4" fillId="2" borderId="30" xfId="0" applyNumberFormat="1" applyFont="1" applyFill="1" applyBorder="1" applyAlignment="1" applyProtection="1">
      <alignment horizontal="center"/>
      <protection hidden="1"/>
    </xf>
    <xf numFmtId="0" fontId="4" fillId="2" borderId="28" xfId="0" applyNumberFormat="1" applyFont="1" applyFill="1" applyBorder="1" applyAlignment="1" applyProtection="1">
      <alignment horizontal="center"/>
      <protection hidden="1"/>
    </xf>
    <xf numFmtId="0" fontId="2" fillId="2" borderId="30" xfId="0" applyFont="1" applyFill="1" applyBorder="1" applyAlignment="1" applyProtection="1">
      <alignment horizontal="left" vertical="center"/>
      <protection hidden="1"/>
    </xf>
    <xf numFmtId="0" fontId="2" fillId="2" borderId="29" xfId="0" applyFont="1" applyFill="1" applyBorder="1" applyAlignment="1" applyProtection="1">
      <alignment horizontal="left" vertical="center"/>
      <protection hidden="1"/>
    </xf>
    <xf numFmtId="0" fontId="2" fillId="2" borderId="29" xfId="0" applyFont="1" applyFill="1" applyBorder="1" applyAlignment="1">
      <alignment horizontal="left"/>
    </xf>
    <xf numFmtId="0" fontId="2" fillId="2" borderId="29" xfId="0" applyFont="1" applyFill="1" applyBorder="1" applyAlignment="1" applyProtection="1">
      <alignment horizontal="right"/>
      <protection hidden="1"/>
    </xf>
    <xf numFmtId="0" fontId="20" fillId="2" borderId="27" xfId="0" applyFont="1" applyFill="1" applyBorder="1" applyAlignment="1" applyProtection="1">
      <alignment horizontal="center" vertical="center"/>
      <protection hidden="1"/>
    </xf>
    <xf numFmtId="0" fontId="4" fillId="2" borderId="27" xfId="0" applyFont="1" applyFill="1" applyBorder="1" applyAlignment="1" applyProtection="1">
      <protection hidden="1"/>
    </xf>
    <xf numFmtId="9" fontId="2" fillId="3" borderId="5" xfId="0" applyNumberFormat="1" applyFont="1" applyFill="1" applyBorder="1" applyAlignment="1" applyProtection="1">
      <alignment horizontal="center"/>
      <protection locked="0" hidden="1"/>
    </xf>
    <xf numFmtId="43" fontId="2" fillId="2" borderId="31" xfId="2" applyNumberFormat="1" applyFont="1" applyFill="1" applyBorder="1" applyAlignment="1" applyProtection="1">
      <protection hidden="1"/>
    </xf>
    <xf numFmtId="43" fontId="4" fillId="2" borderId="27" xfId="2" applyNumberFormat="1" applyFont="1" applyFill="1" applyBorder="1" applyAlignment="1" applyProtection="1">
      <alignment horizontal="center" wrapText="1"/>
      <protection hidden="1"/>
    </xf>
    <xf numFmtId="0" fontId="0" fillId="2" borderId="27" xfId="0" applyFill="1" applyBorder="1" applyAlignment="1" applyProtection="1">
      <protection hidden="1"/>
    </xf>
    <xf numFmtId="0" fontId="0" fillId="2" borderId="5" xfId="0" applyFill="1" applyBorder="1" applyAlignment="1" applyProtection="1">
      <protection hidden="1"/>
    </xf>
    <xf numFmtId="0" fontId="0" fillId="2" borderId="0" xfId="0" applyFill="1" applyBorder="1" applyAlignment="1"/>
    <xf numFmtId="43" fontId="4" fillId="7" borderId="5" xfId="0" applyNumberFormat="1" applyFont="1" applyFill="1" applyBorder="1" applyAlignment="1" applyProtection="1">
      <protection hidden="1"/>
    </xf>
    <xf numFmtId="0" fontId="0" fillId="7" borderId="5" xfId="0" applyFill="1" applyBorder="1" applyAlignment="1" applyProtection="1">
      <protection hidden="1"/>
    </xf>
    <xf numFmtId="43" fontId="4" fillId="6" borderId="29" xfId="0" applyNumberFormat="1" applyFont="1" applyFill="1" applyBorder="1" applyAlignment="1" applyProtection="1">
      <protection locked="0" hidden="1"/>
    </xf>
    <xf numFmtId="43" fontId="2" fillId="2" borderId="5" xfId="2" applyNumberFormat="1" applyFont="1" applyFill="1" applyBorder="1" applyAlignment="1" applyProtection="1">
      <alignment horizontal="center"/>
      <protection hidden="1"/>
    </xf>
    <xf numFmtId="43" fontId="0" fillId="0" borderId="5" xfId="0" applyNumberFormat="1" applyBorder="1" applyAlignment="1"/>
    <xf numFmtId="0" fontId="4" fillId="7" borderId="0" xfId="0" applyFont="1" applyFill="1" applyAlignment="1" applyProtection="1">
      <protection hidden="1"/>
    </xf>
    <xf numFmtId="39" fontId="1" fillId="6" borderId="5" xfId="0" applyNumberFormat="1" applyFont="1" applyFill="1" applyBorder="1" applyAlignment="1" applyProtection="1">
      <alignment wrapText="1"/>
      <protection locked="0"/>
    </xf>
    <xf numFmtId="0" fontId="0" fillId="6" borderId="5" xfId="0" applyFill="1" applyBorder="1" applyAlignment="1" applyProtection="1">
      <alignment wrapText="1"/>
      <protection locked="0"/>
    </xf>
    <xf numFmtId="43" fontId="7" fillId="7" borderId="27" xfId="2" applyNumberFormat="1" applyFont="1" applyFill="1" applyBorder="1" applyAlignment="1" applyProtection="1">
      <alignment vertical="center" wrapText="1"/>
      <protection hidden="1"/>
    </xf>
    <xf numFmtId="0" fontId="0" fillId="7" borderId="0" xfId="0" applyFill="1" applyAlignment="1">
      <alignment vertical="center" wrapText="1"/>
    </xf>
    <xf numFmtId="0" fontId="1" fillId="2" borderId="0" xfId="0" applyFont="1" applyFill="1" applyAlignment="1" applyProtection="1">
      <protection hidden="1"/>
    </xf>
    <xf numFmtId="44" fontId="4" fillId="3" borderId="5" xfId="2" applyFont="1" applyFill="1" applyBorder="1" applyAlignment="1" applyProtection="1">
      <protection locked="0" hidden="1"/>
    </xf>
    <xf numFmtId="44" fontId="0" fillId="3" borderId="5" xfId="2" applyFont="1" applyFill="1" applyBorder="1" applyAlignment="1" applyProtection="1">
      <protection locked="0" hidden="1"/>
    </xf>
    <xf numFmtId="43" fontId="6" fillId="2" borderId="0" xfId="0" applyNumberFormat="1"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15" fillId="2" borderId="0" xfId="0" applyFont="1" applyFill="1" applyAlignment="1" applyProtection="1">
      <protection hidden="1"/>
    </xf>
    <xf numFmtId="0" fontId="16" fillId="2" borderId="0" xfId="0" applyFont="1" applyFill="1" applyAlignment="1"/>
    <xf numFmtId="0" fontId="1" fillId="2" borderId="0" xfId="0" applyFont="1" applyFill="1" applyAlignment="1">
      <alignment horizontal="right"/>
    </xf>
    <xf numFmtId="0" fontId="0" fillId="2" borderId="0" xfId="0" applyFill="1" applyBorder="1" applyAlignment="1" applyProtection="1">
      <protection hidden="1"/>
    </xf>
    <xf numFmtId="0" fontId="0" fillId="3" borderId="5" xfId="0" applyFill="1" applyBorder="1" applyAlignment="1" applyProtection="1">
      <protection locked="0" hidden="1"/>
    </xf>
    <xf numFmtId="168" fontId="2" fillId="8" borderId="30" xfId="0" applyNumberFormat="1" applyFont="1" applyFill="1" applyBorder="1" applyAlignment="1" applyProtection="1">
      <alignment horizontal="center" vertical="top"/>
      <protection locked="0"/>
    </xf>
    <xf numFmtId="0" fontId="2" fillId="0" borderId="29" xfId="0" applyFont="1" applyBorder="1" applyAlignment="1" applyProtection="1">
      <protection locked="0"/>
    </xf>
    <xf numFmtId="0" fontId="2" fillId="0" borderId="28" xfId="0" applyFont="1" applyBorder="1" applyAlignment="1" applyProtection="1">
      <protection locked="0"/>
    </xf>
    <xf numFmtId="14" fontId="4" fillId="2" borderId="0" xfId="0" applyNumberFormat="1" applyFont="1" applyFill="1" applyAlignment="1" applyProtection="1">
      <alignment horizontal="right"/>
      <protection hidden="1"/>
    </xf>
    <xf numFmtId="0" fontId="2" fillId="2" borderId="0" xfId="0" applyFont="1" applyFill="1" applyBorder="1" applyAlignment="1" applyProtection="1">
      <alignment horizontal="center"/>
      <protection hidden="1"/>
    </xf>
    <xf numFmtId="1" fontId="4" fillId="2" borderId="30" xfId="0" applyNumberFormat="1" applyFont="1" applyFill="1" applyBorder="1" applyAlignment="1" applyProtection="1">
      <alignment horizontal="center"/>
      <protection hidden="1"/>
    </xf>
    <xf numFmtId="1" fontId="4" fillId="2" borderId="28" xfId="0" applyNumberFormat="1" applyFont="1" applyFill="1" applyBorder="1" applyAlignment="1" applyProtection="1">
      <alignment horizontal="center"/>
      <protection hidden="1"/>
    </xf>
    <xf numFmtId="170" fontId="2" fillId="2" borderId="29" xfId="0" applyNumberFormat="1" applyFont="1" applyFill="1" applyBorder="1" applyAlignment="1" applyProtection="1">
      <alignment horizontal="right"/>
      <protection hidden="1"/>
    </xf>
    <xf numFmtId="170" fontId="0" fillId="2" borderId="29" xfId="0" applyNumberFormat="1" applyFill="1" applyBorder="1" applyAlignment="1"/>
    <xf numFmtId="0" fontId="4" fillId="2" borderId="5" xfId="0" applyFont="1" applyFill="1" applyBorder="1" applyAlignment="1" applyProtection="1">
      <alignment horizontal="right"/>
      <protection hidden="1"/>
    </xf>
    <xf numFmtId="0" fontId="15" fillId="2" borderId="5" xfId="0" quotePrefix="1" applyFont="1" applyFill="1" applyBorder="1" applyAlignment="1" applyProtection="1">
      <alignment horizontal="center"/>
      <protection hidden="1"/>
    </xf>
    <xf numFmtId="0" fontId="15" fillId="2" borderId="5" xfId="0" applyFont="1" applyFill="1" applyBorder="1" applyAlignment="1" applyProtection="1">
      <alignment horizontal="center"/>
      <protection hidden="1"/>
    </xf>
    <xf numFmtId="0" fontId="6" fillId="2" borderId="30" xfId="0" applyFont="1" applyFill="1" applyBorder="1" applyAlignment="1" applyProtection="1">
      <alignment horizontal="right"/>
      <protection hidden="1"/>
    </xf>
    <xf numFmtId="0" fontId="4" fillId="2" borderId="28" xfId="0" applyFont="1" applyFill="1" applyBorder="1" applyAlignment="1" applyProtection="1">
      <alignment horizontal="right"/>
      <protection hidden="1"/>
    </xf>
    <xf numFmtId="0" fontId="3" fillId="2" borderId="0" xfId="0" applyFont="1" applyFill="1" applyAlignment="1" applyProtection="1">
      <alignment horizontal="center"/>
      <protection hidden="1"/>
    </xf>
    <xf numFmtId="0" fontId="26" fillId="2" borderId="0" xfId="0" applyFont="1" applyFill="1" applyAlignment="1" applyProtection="1">
      <protection hidden="1"/>
    </xf>
    <xf numFmtId="0" fontId="5" fillId="0" borderId="5" xfId="0" applyFont="1" applyFill="1" applyBorder="1" applyAlignment="1" applyProtection="1">
      <alignment wrapText="1"/>
      <protection hidden="1"/>
    </xf>
    <xf numFmtId="0" fontId="0" fillId="0" borderId="5" xfId="0" applyFill="1" applyBorder="1" applyAlignment="1">
      <alignment wrapText="1"/>
    </xf>
    <xf numFmtId="0" fontId="2" fillId="7" borderId="0" xfId="0" applyFont="1" applyFill="1" applyAlignment="1">
      <alignment vertical="top" wrapText="1"/>
    </xf>
    <xf numFmtId="0" fontId="2" fillId="0" borderId="0" xfId="0" applyFont="1" applyAlignment="1">
      <alignment wrapText="1"/>
    </xf>
    <xf numFmtId="0" fontId="3" fillId="0" borderId="5" xfId="0" applyNumberFormat="1" applyFont="1" applyFill="1" applyBorder="1" applyAlignment="1" applyProtection="1">
      <alignment horizontal="left"/>
      <protection hidden="1"/>
    </xf>
    <xf numFmtId="0" fontId="5" fillId="2" borderId="0" xfId="0" applyFont="1" applyFill="1" applyBorder="1" applyAlignment="1" applyProtection="1">
      <alignment horizontal="right"/>
      <protection hidden="1"/>
    </xf>
    <xf numFmtId="0" fontId="0" fillId="0" borderId="0" xfId="0" applyAlignment="1" applyProtection="1">
      <alignment horizontal="right"/>
      <protection hidden="1"/>
    </xf>
    <xf numFmtId="0" fontId="1" fillId="8" borderId="30" xfId="0" applyFont="1" applyFill="1" applyBorder="1" applyAlignment="1" applyProtection="1">
      <alignment horizontal="left" vertical="top" wrapText="1"/>
      <protection locked="0"/>
    </xf>
    <xf numFmtId="0" fontId="0" fillId="8" borderId="29" xfId="0" applyFill="1" applyBorder="1" applyAlignment="1" applyProtection="1">
      <alignment horizontal="left" vertical="top" wrapText="1"/>
      <protection locked="0"/>
    </xf>
    <xf numFmtId="0" fontId="0" fillId="8" borderId="28" xfId="0" applyFill="1" applyBorder="1" applyAlignment="1" applyProtection="1">
      <alignment horizontal="left" vertical="top" wrapText="1"/>
      <protection locked="0"/>
    </xf>
    <xf numFmtId="182" fontId="2" fillId="8" borderId="30" xfId="0" applyNumberFormat="1" applyFont="1" applyFill="1" applyBorder="1" applyAlignment="1" applyProtection="1">
      <alignment horizontal="left" vertical="center"/>
      <protection locked="0"/>
    </xf>
    <xf numFmtId="182" fontId="2" fillId="8" borderId="29" xfId="0" applyNumberFormat="1" applyFont="1" applyFill="1" applyBorder="1" applyAlignment="1" applyProtection="1">
      <alignment horizontal="left" vertical="center"/>
      <protection locked="0"/>
    </xf>
    <xf numFmtId="182" fontId="2" fillId="8" borderId="28" xfId="0" applyNumberFormat="1" applyFont="1" applyFill="1" applyBorder="1" applyAlignment="1" applyProtection="1">
      <alignment horizontal="left" vertical="center"/>
      <protection locked="0"/>
    </xf>
    <xf numFmtId="0" fontId="0" fillId="2" borderId="0" xfId="0" applyFill="1" applyBorder="1" applyAlignment="1" applyProtection="1">
      <alignment horizontal="right"/>
      <protection hidden="1"/>
    </xf>
    <xf numFmtId="0" fontId="2" fillId="2" borderId="29" xfId="0" applyFont="1" applyFill="1" applyBorder="1" applyAlignment="1" applyProtection="1">
      <alignment horizontal="left"/>
      <protection hidden="1"/>
    </xf>
    <xf numFmtId="0" fontId="0" fillId="2" borderId="29" xfId="0" applyFill="1" applyBorder="1" applyAlignment="1" applyProtection="1">
      <alignment horizontal="left"/>
      <protection hidden="1"/>
    </xf>
    <xf numFmtId="0" fontId="0" fillId="2" borderId="28" xfId="0" applyFill="1" applyBorder="1" applyAlignment="1" applyProtection="1">
      <alignment horizontal="left"/>
      <protection hidden="1"/>
    </xf>
    <xf numFmtId="168" fontId="2" fillId="8" borderId="30" xfId="0" applyNumberFormat="1" applyFont="1" applyFill="1" applyBorder="1" applyAlignment="1" applyProtection="1">
      <alignment horizontal="center"/>
      <protection locked="0"/>
    </xf>
    <xf numFmtId="168" fontId="2" fillId="8" borderId="29" xfId="0" applyNumberFormat="1" applyFont="1" applyFill="1" applyBorder="1" applyAlignment="1" applyProtection="1">
      <alignment horizontal="center"/>
      <protection locked="0"/>
    </xf>
    <xf numFmtId="168" fontId="2" fillId="8" borderId="28" xfId="0" applyNumberFormat="1" applyFont="1" applyFill="1" applyBorder="1" applyAlignment="1" applyProtection="1">
      <alignment horizontal="center"/>
      <protection locked="0"/>
    </xf>
    <xf numFmtId="0" fontId="31" fillId="2" borderId="4"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1" fillId="8" borderId="30" xfId="0" applyFont="1" applyFill="1" applyBorder="1" applyAlignment="1" applyProtection="1">
      <alignment horizontal="center" vertical="center"/>
      <protection hidden="1"/>
    </xf>
    <xf numFmtId="0" fontId="1" fillId="8" borderId="29" xfId="0" applyFont="1" applyFill="1" applyBorder="1" applyAlignment="1" applyProtection="1">
      <alignment horizontal="center" vertical="center"/>
      <protection hidden="1"/>
    </xf>
    <xf numFmtId="0" fontId="1" fillId="8" borderId="28" xfId="0" applyFont="1" applyFill="1" applyBorder="1" applyAlignment="1" applyProtection="1">
      <alignment horizontal="center" vertical="center"/>
      <protection hidden="1"/>
    </xf>
    <xf numFmtId="12" fontId="2" fillId="0" borderId="30" xfId="0" applyNumberFormat="1" applyFont="1" applyFill="1" applyBorder="1" applyAlignment="1" applyProtection="1">
      <protection hidden="1"/>
    </xf>
    <xf numFmtId="0" fontId="0" fillId="0" borderId="29" xfId="0" applyFill="1" applyBorder="1" applyAlignment="1" applyProtection="1">
      <protection hidden="1"/>
    </xf>
    <xf numFmtId="0" fontId="0" fillId="0" borderId="28" xfId="0" applyFill="1" applyBorder="1" applyAlignment="1" applyProtection="1">
      <protection hidden="1"/>
    </xf>
    <xf numFmtId="164" fontId="0" fillId="2" borderId="30" xfId="0" applyNumberFormat="1" applyFill="1" applyBorder="1" applyAlignment="1" applyProtection="1">
      <alignment horizontal="center" vertical="top"/>
      <protection hidden="1"/>
    </xf>
    <xf numFmtId="0" fontId="2" fillId="2" borderId="0" xfId="2" applyNumberFormat="1" applyFont="1" applyFill="1" applyBorder="1" applyAlignment="1" applyProtection="1">
      <alignment horizontal="right"/>
      <protection hidden="1"/>
    </xf>
    <xf numFmtId="0" fontId="0" fillId="2" borderId="45"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1" fillId="0" borderId="30" xfId="0" applyFont="1" applyFill="1" applyBorder="1" applyAlignment="1" applyProtection="1">
      <alignment vertical="top" wrapText="1"/>
      <protection locked="0"/>
    </xf>
    <xf numFmtId="0" fontId="0" fillId="0" borderId="29" xfId="0" applyBorder="1" applyAlignment="1" applyProtection="1">
      <alignment wrapText="1"/>
      <protection locked="0"/>
    </xf>
    <xf numFmtId="0" fontId="0" fillId="0" borderId="28" xfId="0" applyBorder="1" applyAlignment="1" applyProtection="1">
      <alignment wrapText="1"/>
      <protection locked="0"/>
    </xf>
    <xf numFmtId="0" fontId="1" fillId="0" borderId="30" xfId="0" applyFont="1" applyFill="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45" xfId="0" applyFont="1" applyFill="1" applyBorder="1" applyAlignment="1" applyProtection="1">
      <alignment horizontal="center" vertical="center"/>
      <protection hidden="1"/>
    </xf>
    <xf numFmtId="44" fontId="2" fillId="2" borderId="26" xfId="0" applyNumberFormat="1" applyFont="1" applyFill="1" applyBorder="1" applyAlignment="1" applyProtection="1">
      <protection hidden="1"/>
    </xf>
    <xf numFmtId="0" fontId="31" fillId="2" borderId="30" xfId="0" applyFont="1" applyFill="1" applyBorder="1" applyAlignment="1" applyProtection="1">
      <alignment horizontal="center" vertical="center"/>
      <protection hidden="1"/>
    </xf>
    <xf numFmtId="0" fontId="31" fillId="2" borderId="29" xfId="0" applyFont="1" applyFill="1" applyBorder="1" applyAlignment="1" applyProtection="1">
      <alignment horizontal="center" vertical="center"/>
      <protection hidden="1"/>
    </xf>
    <xf numFmtId="0" fontId="31" fillId="2" borderId="28" xfId="0" applyFont="1" applyFill="1" applyBorder="1" applyAlignment="1" applyProtection="1">
      <alignment horizontal="center" vertical="center"/>
      <protection hidden="1"/>
    </xf>
    <xf numFmtId="0" fontId="2" fillId="7" borderId="4" xfId="0" applyFont="1" applyFill="1" applyBorder="1" applyAlignment="1" applyProtection="1">
      <protection hidden="1"/>
    </xf>
    <xf numFmtId="0" fontId="0" fillId="0" borderId="1" xfId="0" applyBorder="1" applyAlignment="1"/>
    <xf numFmtId="0" fontId="2" fillId="7" borderId="2" xfId="0" applyFont="1" applyFill="1" applyBorder="1" applyAlignment="1" applyProtection="1">
      <alignment vertical="center"/>
      <protection hidden="1"/>
    </xf>
    <xf numFmtId="39" fontId="8" fillId="2" borderId="5" xfId="0" applyNumberFormat="1" applyFont="1" applyFill="1" applyBorder="1" applyAlignment="1" applyProtection="1">
      <alignment horizontal="right"/>
      <protection hidden="1"/>
    </xf>
    <xf numFmtId="39" fontId="0" fillId="0" borderId="5" xfId="0" applyNumberFormat="1" applyBorder="1" applyAlignment="1" applyProtection="1">
      <alignment horizontal="right"/>
      <protection hidden="1"/>
    </xf>
    <xf numFmtId="43" fontId="8" fillId="2" borderId="5" xfId="0" applyNumberFormat="1" applyFont="1" applyFill="1" applyBorder="1" applyAlignment="1" applyProtection="1">
      <alignment horizontal="left"/>
      <protection hidden="1"/>
    </xf>
    <xf numFmtId="0" fontId="8" fillId="0" borderId="0" xfId="0" applyFont="1" applyFill="1" applyAlignment="1" applyProtection="1">
      <protection hidden="1"/>
    </xf>
    <xf numFmtId="0" fontId="8" fillId="0" borderId="0" xfId="0" applyFont="1" applyAlignment="1"/>
    <xf numFmtId="44" fontId="8" fillId="2" borderId="5" xfId="0" applyNumberFormat="1" applyFont="1" applyFill="1" applyBorder="1" applyAlignment="1" applyProtection="1">
      <alignment horizontal="center"/>
      <protection hidden="1"/>
    </xf>
    <xf numFmtId="180" fontId="0" fillId="0" borderId="2" xfId="0" applyNumberFormat="1" applyBorder="1" applyAlignment="1" applyProtection="1">
      <protection hidden="1"/>
    </xf>
    <xf numFmtId="174" fontId="2" fillId="0" borderId="2" xfId="0" applyNumberFormat="1" applyFont="1" applyFill="1" applyBorder="1" applyAlignment="1" applyProtection="1">
      <alignment horizontal="left"/>
      <protection hidden="1"/>
    </xf>
    <xf numFmtId="0" fontId="2" fillId="2" borderId="2" xfId="0" applyFont="1" applyFill="1" applyBorder="1" applyAlignment="1" applyProtection="1">
      <alignment horizontal="left"/>
      <protection hidden="1"/>
    </xf>
    <xf numFmtId="0" fontId="0" fillId="0" borderId="3" xfId="0" applyBorder="1" applyAlignment="1">
      <alignment horizontal="left"/>
    </xf>
    <xf numFmtId="44" fontId="2" fillId="0" borderId="30" xfId="0" applyNumberFormat="1" applyFont="1" applyFill="1" applyBorder="1" applyAlignment="1" applyProtection="1">
      <protection locked="0"/>
    </xf>
    <xf numFmtId="44" fontId="2" fillId="0" borderId="29" xfId="0" applyNumberFormat="1" applyFont="1" applyFill="1" applyBorder="1" applyAlignment="1" applyProtection="1">
      <protection locked="0"/>
    </xf>
    <xf numFmtId="44" fontId="2" fillId="0" borderId="28" xfId="0" applyNumberFormat="1" applyFont="1" applyFill="1" applyBorder="1" applyAlignment="1" applyProtection="1">
      <protection locked="0"/>
    </xf>
    <xf numFmtId="44" fontId="2" fillId="2" borderId="30" xfId="0" applyNumberFormat="1" applyFont="1" applyFill="1" applyBorder="1" applyAlignment="1" applyProtection="1">
      <alignment horizontal="center"/>
      <protection hidden="1"/>
    </xf>
    <xf numFmtId="44" fontId="2" fillId="2" borderId="29" xfId="0" applyNumberFormat="1" applyFont="1" applyFill="1" applyBorder="1" applyAlignment="1" applyProtection="1">
      <alignment horizontal="center"/>
      <protection hidden="1"/>
    </xf>
    <xf numFmtId="43" fontId="2" fillId="2" borderId="26" xfId="0" applyNumberFormat="1" applyFont="1" applyFill="1" applyBorder="1" applyAlignment="1" applyProtection="1">
      <protection hidden="1"/>
    </xf>
    <xf numFmtId="44" fontId="2" fillId="8" borderId="26" xfId="0" applyNumberFormat="1" applyFont="1" applyFill="1" applyBorder="1" applyAlignment="1" applyProtection="1">
      <protection locked="0"/>
    </xf>
    <xf numFmtId="0" fontId="2" fillId="8" borderId="26" xfId="0" applyFont="1" applyFill="1" applyBorder="1" applyAlignment="1" applyProtection="1">
      <protection locked="0"/>
    </xf>
    <xf numFmtId="0" fontId="2" fillId="2" borderId="32" xfId="0" applyFont="1" applyFill="1" applyBorder="1" applyAlignment="1" applyProtection="1">
      <protection hidden="1"/>
    </xf>
    <xf numFmtId="0" fontId="0" fillId="0" borderId="67" xfId="0" applyBorder="1" applyAlignment="1"/>
    <xf numFmtId="0" fontId="45" fillId="7" borderId="0" xfId="0" applyFont="1" applyFill="1" applyBorder="1" applyAlignment="1" applyProtection="1">
      <alignment vertical="center"/>
      <protection hidden="1"/>
    </xf>
    <xf numFmtId="0" fontId="0" fillId="0" borderId="0" xfId="0" applyBorder="1"/>
    <xf numFmtId="0" fontId="2" fillId="2" borderId="26" xfId="0" applyFont="1" applyFill="1" applyBorder="1" applyAlignment="1" applyProtection="1">
      <protection hidden="1"/>
    </xf>
    <xf numFmtId="191" fontId="2" fillId="2" borderId="5" xfId="0" applyNumberFormat="1" applyFont="1" applyFill="1" applyBorder="1" applyAlignment="1" applyProtection="1">
      <alignment horizontal="center"/>
      <protection hidden="1"/>
    </xf>
    <xf numFmtId="191" fontId="0" fillId="2" borderId="5" xfId="0" applyNumberFormat="1" applyFill="1" applyBorder="1" applyAlignment="1">
      <alignment horizontal="center"/>
    </xf>
    <xf numFmtId="0" fontId="2" fillId="6" borderId="5" xfId="0" applyFont="1" applyFill="1" applyBorder="1" applyAlignment="1" applyProtection="1">
      <alignment horizontal="center"/>
      <protection locked="0"/>
    </xf>
    <xf numFmtId="0" fontId="0" fillId="0" borderId="5" xfId="0" applyBorder="1" applyAlignment="1" applyProtection="1">
      <alignment horizontal="center"/>
      <protection locked="0"/>
    </xf>
    <xf numFmtId="0" fontId="4" fillId="2" borderId="0" xfId="0" applyFont="1" applyFill="1" applyBorder="1" applyAlignment="1" applyProtection="1">
      <alignment horizontal="center"/>
      <protection hidden="1"/>
    </xf>
    <xf numFmtId="0" fontId="0" fillId="2" borderId="0" xfId="0" applyFill="1" applyBorder="1" applyAlignment="1">
      <alignment horizontal="center"/>
    </xf>
    <xf numFmtId="0" fontId="0" fillId="2" borderId="0" xfId="0" applyFill="1" applyAlignment="1">
      <alignment horizontal="center"/>
    </xf>
    <xf numFmtId="0" fontId="8" fillId="2" borderId="0" xfId="0" applyFont="1" applyFill="1" applyAlignment="1" applyProtection="1">
      <alignment horizontal="center"/>
      <protection hidden="1"/>
    </xf>
    <xf numFmtId="0" fontId="1" fillId="7" borderId="0" xfId="0" applyFont="1" applyFill="1" applyAlignment="1" applyProtection="1">
      <protection hidden="1"/>
    </xf>
    <xf numFmtId="39" fontId="4" fillId="6" borderId="5" xfId="0" applyNumberFormat="1" applyFont="1" applyFill="1" applyBorder="1" applyAlignment="1" applyProtection="1">
      <protection locked="0"/>
    </xf>
    <xf numFmtId="0" fontId="0" fillId="6" borderId="5" xfId="0" applyFill="1" applyBorder="1" applyAlignment="1" applyProtection="1">
      <protection locked="0"/>
    </xf>
    <xf numFmtId="9" fontId="14" fillId="6" borderId="0" xfId="6" applyFont="1" applyFill="1" applyBorder="1" applyAlignment="1" applyProtection="1">
      <alignment horizontal="center" vertical="center"/>
      <protection locked="0"/>
    </xf>
    <xf numFmtId="0" fontId="4" fillId="2" borderId="0" xfId="0" applyFont="1" applyFill="1" applyAlignment="1" applyProtection="1">
      <alignment horizontal="right"/>
      <protection hidden="1"/>
    </xf>
    <xf numFmtId="0" fontId="0" fillId="2" borderId="0" xfId="0" applyFill="1" applyAlignment="1">
      <alignment horizontal="right"/>
    </xf>
    <xf numFmtId="0" fontId="0" fillId="2" borderId="0" xfId="0" applyFill="1" applyBorder="1" applyAlignment="1">
      <alignment horizontal="right"/>
    </xf>
    <xf numFmtId="43" fontId="2" fillId="0" borderId="27" xfId="0" applyNumberFormat="1" applyFont="1" applyBorder="1" applyAlignment="1" applyProtection="1">
      <alignment horizontal="center"/>
      <protection hidden="1"/>
    </xf>
    <xf numFmtId="43" fontId="2" fillId="0" borderId="31" xfId="0" applyNumberFormat="1" applyFont="1" applyBorder="1" applyAlignment="1" applyProtection="1">
      <alignment horizontal="center"/>
      <protection hidden="1"/>
    </xf>
    <xf numFmtId="44" fontId="8" fillId="2" borderId="0" xfId="0" applyNumberFormat="1" applyFont="1" applyFill="1" applyBorder="1" applyAlignment="1" applyProtection="1">
      <alignment horizontal="center"/>
      <protection hidden="1"/>
    </xf>
    <xf numFmtId="44" fontId="8" fillId="2" borderId="0" xfId="0" applyNumberFormat="1" applyFont="1" applyFill="1" applyBorder="1" applyAlignment="1" applyProtection="1">
      <protection hidden="1"/>
    </xf>
    <xf numFmtId="43" fontId="8" fillId="6" borderId="0" xfId="0" applyNumberFormat="1" applyFont="1" applyFill="1" applyBorder="1" applyAlignment="1" applyProtection="1">
      <alignment horizontal="center"/>
      <protection locked="0" hidden="1"/>
    </xf>
    <xf numFmtId="43" fontId="0" fillId="6" borderId="0" xfId="0" applyNumberFormat="1" applyFill="1" applyAlignment="1" applyProtection="1">
      <protection locked="0" hidden="1"/>
    </xf>
    <xf numFmtId="0" fontId="4" fillId="2" borderId="30" xfId="0" applyNumberFormat="1" applyFont="1" applyFill="1" applyBorder="1" applyAlignment="1" applyProtection="1">
      <alignment horizontal="center" vertical="center"/>
      <protection hidden="1"/>
    </xf>
    <xf numFmtId="0" fontId="4" fillId="2" borderId="29" xfId="0" applyNumberFormat="1" applyFont="1" applyFill="1" applyBorder="1" applyAlignment="1" applyProtection="1">
      <alignment horizontal="center"/>
      <protection hidden="1"/>
    </xf>
    <xf numFmtId="43" fontId="2" fillId="2" borderId="39" xfId="0" applyNumberFormat="1" applyFont="1" applyFill="1" applyBorder="1" applyAlignment="1" applyProtection="1">
      <protection hidden="1"/>
    </xf>
    <xf numFmtId="44" fontId="2" fillId="7" borderId="0" xfId="0" applyNumberFormat="1" applyFont="1" applyFill="1" applyBorder="1" applyAlignment="1" applyProtection="1">
      <alignment horizontal="center"/>
      <protection locked="0"/>
    </xf>
    <xf numFmtId="44" fontId="0" fillId="0" borderId="0" xfId="0" applyNumberFormat="1" applyBorder="1" applyAlignment="1" applyProtection="1">
      <protection locked="0"/>
    </xf>
    <xf numFmtId="0" fontId="2" fillId="7" borderId="0" xfId="0" applyFont="1" applyFill="1" applyBorder="1" applyAlignment="1" applyProtection="1">
      <protection hidden="1"/>
    </xf>
    <xf numFmtId="0" fontId="2" fillId="2" borderId="2" xfId="0" applyFont="1" applyFill="1" applyBorder="1" applyAlignment="1" applyProtection="1">
      <alignment vertical="top"/>
      <protection hidden="1"/>
    </xf>
    <xf numFmtId="0" fontId="0" fillId="0" borderId="0" xfId="0" applyBorder="1" applyAlignment="1">
      <alignment vertical="top"/>
    </xf>
    <xf numFmtId="0" fontId="0" fillId="0" borderId="3" xfId="0" applyBorder="1" applyAlignment="1">
      <alignment vertical="top"/>
    </xf>
    <xf numFmtId="44" fontId="2" fillId="8" borderId="30" xfId="0" applyNumberFormat="1" applyFont="1" applyFill="1" applyBorder="1" applyAlignment="1" applyProtection="1">
      <alignment horizontal="center"/>
      <protection locked="0"/>
    </xf>
    <xf numFmtId="44" fontId="0" fillId="8" borderId="29" xfId="0" applyNumberFormat="1" applyFill="1" applyBorder="1" applyAlignment="1" applyProtection="1">
      <protection locked="0"/>
    </xf>
    <xf numFmtId="44" fontId="0" fillId="8" borderId="28" xfId="0" applyNumberFormat="1" applyFill="1" applyBorder="1" applyAlignment="1" applyProtection="1">
      <protection locked="0"/>
    </xf>
    <xf numFmtId="43" fontId="4" fillId="2" borderId="0" xfId="0" applyNumberFormat="1" applyFont="1" applyFill="1" applyBorder="1" applyAlignment="1" applyProtection="1">
      <protection hidden="1"/>
    </xf>
    <xf numFmtId="0" fontId="9" fillId="2" borderId="45" xfId="0" applyFont="1" applyFill="1" applyBorder="1" applyAlignment="1" applyProtection="1">
      <alignment horizontal="right" vertical="center"/>
      <protection hidden="1"/>
    </xf>
    <xf numFmtId="0" fontId="2" fillId="0" borderId="0" xfId="0" applyFont="1" applyBorder="1" applyAlignment="1"/>
    <xf numFmtId="44" fontId="2" fillId="0" borderId="30" xfId="0" applyNumberFormat="1" applyFont="1" applyFill="1" applyBorder="1" applyAlignment="1" applyProtection="1">
      <alignment horizontal="center"/>
      <protection locked="0"/>
    </xf>
    <xf numFmtId="44" fontId="2" fillId="0" borderId="29" xfId="0" applyNumberFormat="1" applyFont="1" applyFill="1" applyBorder="1" applyAlignment="1" applyProtection="1">
      <alignment horizontal="center"/>
      <protection locked="0"/>
    </xf>
    <xf numFmtId="44" fontId="0" fillId="0" borderId="28" xfId="0" applyNumberFormat="1" applyFill="1" applyBorder="1" applyAlignment="1" applyProtection="1">
      <protection locked="0"/>
    </xf>
    <xf numFmtId="43" fontId="2" fillId="0" borderId="27" xfId="0" applyNumberFormat="1" applyFont="1" applyBorder="1" applyAlignment="1" applyProtection="1">
      <protection hidden="1"/>
    </xf>
    <xf numFmtId="43" fontId="2" fillId="0" borderId="31" xfId="0" applyNumberFormat="1" applyFont="1" applyBorder="1" applyAlignment="1" applyProtection="1">
      <protection hidden="1"/>
    </xf>
    <xf numFmtId="0" fontId="2" fillId="7" borderId="2" xfId="0" applyFont="1" applyFill="1" applyBorder="1" applyAlignment="1" applyProtection="1">
      <alignment horizontal="center"/>
      <protection hidden="1"/>
    </xf>
    <xf numFmtId="0" fontId="0" fillId="7" borderId="0" xfId="0" applyFill="1" applyBorder="1" applyAlignment="1">
      <alignment horizontal="center"/>
    </xf>
    <xf numFmtId="0" fontId="0" fillId="7" borderId="3" xfId="0" applyFill="1" applyBorder="1" applyAlignment="1">
      <alignment horizontal="center"/>
    </xf>
    <xf numFmtId="174" fontId="2" fillId="0" borderId="30" xfId="0" applyNumberFormat="1" applyFont="1" applyFill="1" applyBorder="1" applyAlignment="1" applyProtection="1">
      <alignment horizontal="center"/>
      <protection locked="0"/>
    </xf>
    <xf numFmtId="174" fontId="2" fillId="0" borderId="29" xfId="0" applyNumberFormat="1" applyFont="1" applyFill="1" applyBorder="1" applyAlignment="1" applyProtection="1">
      <alignment horizontal="center"/>
      <protection locked="0"/>
    </xf>
    <xf numFmtId="174" fontId="2" fillId="0" borderId="28" xfId="0" applyNumberFormat="1" applyFont="1" applyFill="1" applyBorder="1" applyAlignment="1" applyProtection="1">
      <alignment horizontal="center"/>
      <protection locked="0"/>
    </xf>
    <xf numFmtId="0" fontId="0" fillId="2" borderId="30" xfId="0" applyFill="1" applyBorder="1" applyAlignment="1" applyProtection="1">
      <alignment horizontal="center" vertical="center"/>
      <protection locked="0"/>
    </xf>
    <xf numFmtId="0" fontId="1" fillId="2" borderId="27" xfId="0" applyFont="1" applyFill="1" applyBorder="1" applyAlignment="1" applyProtection="1">
      <alignment horizontal="left" vertical="top"/>
      <protection hidden="1"/>
    </xf>
    <xf numFmtId="0" fontId="4" fillId="7" borderId="0" xfId="0" applyFont="1" applyFill="1" applyAlignment="1" applyProtection="1">
      <alignment wrapText="1"/>
      <protection hidden="1"/>
    </xf>
    <xf numFmtId="0" fontId="0" fillId="7" borderId="0" xfId="0" applyFill="1" applyAlignment="1">
      <alignment wrapText="1"/>
    </xf>
    <xf numFmtId="0" fontId="4" fillId="2" borderId="32" xfId="0" applyFont="1" applyFill="1" applyBorder="1" applyAlignment="1" applyProtection="1">
      <alignment horizontal="right" vertical="center"/>
      <protection hidden="1"/>
    </xf>
    <xf numFmtId="0" fontId="4" fillId="2" borderId="33" xfId="0" applyFont="1" applyFill="1" applyBorder="1" applyAlignment="1" applyProtection="1">
      <alignment horizontal="right" vertical="center"/>
      <protection hidden="1"/>
    </xf>
    <xf numFmtId="0" fontId="4" fillId="2" borderId="4" xfId="0" applyFont="1" applyFill="1" applyBorder="1" applyAlignment="1" applyProtection="1">
      <alignment horizontal="right" vertical="center"/>
      <protection hidden="1"/>
    </xf>
    <xf numFmtId="0" fontId="4" fillId="2" borderId="1" xfId="0" applyFont="1" applyFill="1" applyBorder="1" applyAlignment="1" applyProtection="1">
      <alignment horizontal="right" vertical="center"/>
      <protection hidden="1"/>
    </xf>
    <xf numFmtId="0" fontId="1" fillId="2" borderId="27" xfId="0" applyFont="1" applyFill="1" applyBorder="1" applyAlignment="1" applyProtection="1">
      <alignment horizontal="right"/>
      <protection hidden="1"/>
    </xf>
    <xf numFmtId="0" fontId="0" fillId="0" borderId="27" xfId="0" applyBorder="1" applyAlignment="1">
      <alignment horizontal="right"/>
    </xf>
    <xf numFmtId="0" fontId="4" fillId="2" borderId="27" xfId="0" applyFont="1" applyFill="1" applyBorder="1" applyAlignment="1" applyProtection="1">
      <alignment horizontal="right" vertical="top"/>
      <protection hidden="1"/>
    </xf>
    <xf numFmtId="0" fontId="46" fillId="2" borderId="0" xfId="0" applyFont="1" applyFill="1" applyBorder="1" applyAlignment="1" applyProtection="1">
      <alignment horizontal="center" vertical="center" wrapText="1"/>
      <protection hidden="1"/>
    </xf>
    <xf numFmtId="0" fontId="47" fillId="0" borderId="0" xfId="0" applyFont="1" applyAlignment="1">
      <alignment vertical="center" wrapText="1"/>
    </xf>
    <xf numFmtId="180" fontId="0" fillId="7" borderId="2" xfId="0" applyNumberFormat="1" applyFill="1" applyBorder="1" applyAlignment="1" applyProtection="1">
      <alignment horizontal="center"/>
      <protection hidden="1"/>
    </xf>
    <xf numFmtId="0" fontId="0" fillId="0" borderId="0" xfId="0" applyNumberFormat="1" applyBorder="1" applyAlignment="1">
      <alignment horizontal="center"/>
    </xf>
    <xf numFmtId="0" fontId="0" fillId="0" borderId="3" xfId="0" applyNumberFormat="1" applyBorder="1" applyAlignment="1">
      <alignment horizontal="center"/>
    </xf>
    <xf numFmtId="0" fontId="0" fillId="7" borderId="4" xfId="0" applyFill="1" applyBorder="1" applyAlignment="1"/>
    <xf numFmtId="0" fontId="1" fillId="0" borderId="2" xfId="0" applyFont="1" applyFill="1" applyBorder="1" applyAlignment="1" applyProtection="1">
      <protection hidden="1"/>
    </xf>
    <xf numFmtId="0" fontId="1" fillId="2" borderId="27" xfId="0" applyFont="1" applyFill="1" applyBorder="1" applyAlignment="1" applyProtection="1">
      <alignment horizontal="left"/>
      <protection hidden="1"/>
    </xf>
    <xf numFmtId="0" fontId="0" fillId="0" borderId="27" xfId="0" applyBorder="1" applyAlignment="1">
      <alignment horizontal="left"/>
    </xf>
    <xf numFmtId="0" fontId="18" fillId="2" borderId="30" xfId="0" applyFont="1" applyFill="1" applyBorder="1" applyAlignment="1" applyProtection="1">
      <alignment horizontal="center"/>
      <protection hidden="1"/>
    </xf>
    <xf numFmtId="0" fontId="18" fillId="2" borderId="29" xfId="0" applyFont="1" applyFill="1" applyBorder="1" applyAlignment="1" applyProtection="1">
      <alignment horizontal="center"/>
      <protection hidden="1"/>
    </xf>
    <xf numFmtId="0" fontId="18" fillId="2" borderId="28" xfId="0" applyFont="1" applyFill="1" applyBorder="1" applyAlignment="1" applyProtection="1">
      <alignment horizont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168" fontId="0" fillId="7" borderId="0" xfId="0" applyNumberFormat="1" applyFill="1" applyBorder="1" applyAlignment="1" applyProtection="1">
      <alignment horizontal="left"/>
      <protection hidden="1"/>
    </xf>
    <xf numFmtId="168" fontId="0" fillId="7" borderId="0" xfId="0" applyNumberFormat="1" applyFill="1" applyAlignment="1" applyProtection="1">
      <protection hidden="1"/>
    </xf>
    <xf numFmtId="168" fontId="0" fillId="7" borderId="3" xfId="0" applyNumberFormat="1" applyFill="1" applyBorder="1" applyAlignment="1" applyProtection="1">
      <protection hidden="1"/>
    </xf>
    <xf numFmtId="190" fontId="0" fillId="7" borderId="0" xfId="0" applyNumberFormat="1" applyFill="1" applyBorder="1" applyAlignment="1" applyProtection="1">
      <alignment horizontal="left"/>
      <protection hidden="1"/>
    </xf>
    <xf numFmtId="190" fontId="0" fillId="7" borderId="0" xfId="0" applyNumberFormat="1" applyFill="1" applyAlignment="1" applyProtection="1">
      <protection hidden="1"/>
    </xf>
    <xf numFmtId="170" fontId="2" fillId="9" borderId="30" xfId="0" applyNumberFormat="1" applyFont="1" applyFill="1" applyBorder="1" applyAlignment="1" applyProtection="1">
      <alignment horizontal="right"/>
      <protection locked="0"/>
    </xf>
    <xf numFmtId="170" fontId="0" fillId="0" borderId="29" xfId="0" applyNumberFormat="1" applyBorder="1" applyAlignment="1" applyProtection="1">
      <alignment horizontal="right"/>
      <protection locked="0"/>
    </xf>
    <xf numFmtId="170" fontId="0" fillId="0" borderId="46" xfId="0" applyNumberFormat="1" applyBorder="1" applyAlignment="1" applyProtection="1">
      <alignment horizontal="right"/>
      <protection locked="0"/>
    </xf>
    <xf numFmtId="1" fontId="2" fillId="9" borderId="29" xfId="0" applyNumberFormat="1" applyFont="1" applyFill="1" applyBorder="1" applyAlignment="1" applyProtection="1">
      <alignment horizontal="left"/>
      <protection locked="0"/>
    </xf>
    <xf numFmtId="1" fontId="2" fillId="0" borderId="28" xfId="0" applyNumberFormat="1" applyFont="1" applyBorder="1" applyAlignment="1" applyProtection="1">
      <alignment horizontal="left"/>
      <protection locked="0"/>
    </xf>
    <xf numFmtId="189" fontId="2" fillId="0" borderId="30" xfId="0" applyNumberFormat="1" applyFont="1" applyFill="1" applyBorder="1" applyAlignment="1" applyProtection="1">
      <alignment horizontal="center"/>
      <protection locked="0"/>
    </xf>
    <xf numFmtId="189" fontId="2" fillId="0" borderId="29" xfId="0" applyNumberFormat="1" applyFont="1" applyFill="1" applyBorder="1" applyAlignment="1" applyProtection="1">
      <alignment horizontal="center"/>
      <protection locked="0"/>
    </xf>
    <xf numFmtId="189" fontId="2" fillId="0" borderId="28" xfId="0" applyNumberFormat="1" applyFont="1" applyFill="1" applyBorder="1" applyAlignment="1" applyProtection="1">
      <alignment horizontal="center"/>
      <protection locked="0"/>
    </xf>
    <xf numFmtId="0" fontId="2" fillId="0" borderId="30" xfId="0" applyFont="1" applyFill="1" applyBorder="1" applyAlignment="1" applyProtection="1">
      <alignment horizontal="left"/>
      <protection hidden="1"/>
    </xf>
    <xf numFmtId="0" fontId="0" fillId="0" borderId="29" xfId="0" applyFill="1" applyBorder="1" applyAlignment="1" applyProtection="1">
      <alignment horizontal="left"/>
      <protection hidden="1"/>
    </xf>
    <xf numFmtId="0" fontId="0" fillId="0" borderId="28" xfId="0" applyFill="1" applyBorder="1" applyAlignment="1" applyProtection="1">
      <alignment horizontal="left"/>
      <protection hidden="1"/>
    </xf>
    <xf numFmtId="178" fontId="2" fillId="9" borderId="30" xfId="0" applyNumberFormat="1" applyFont="1" applyFill="1" applyBorder="1" applyAlignment="1" applyProtection="1">
      <alignment horizontal="left"/>
      <protection locked="0"/>
    </xf>
    <xf numFmtId="0" fontId="0" fillId="0" borderId="29" xfId="0" applyBorder="1" applyAlignment="1" applyProtection="1">
      <alignment horizontal="left"/>
      <protection locked="0"/>
    </xf>
    <xf numFmtId="0" fontId="0" fillId="0" borderId="28" xfId="0" applyBorder="1" applyAlignment="1" applyProtection="1">
      <alignment horizontal="left"/>
      <protection locked="0"/>
    </xf>
    <xf numFmtId="49" fontId="2" fillId="9" borderId="30" xfId="0" applyNumberFormat="1" applyFont="1" applyFill="1" applyBorder="1" applyAlignment="1" applyProtection="1">
      <alignment horizontal="left"/>
      <protection locked="0"/>
    </xf>
    <xf numFmtId="170" fontId="2" fillId="7" borderId="30" xfId="0" applyNumberFormat="1" applyFont="1" applyFill="1" applyBorder="1" applyAlignment="1" applyProtection="1">
      <protection hidden="1"/>
    </xf>
    <xf numFmtId="0" fontId="0" fillId="7" borderId="29" xfId="0" applyFill="1" applyBorder="1" applyAlignment="1" applyProtection="1">
      <protection hidden="1"/>
    </xf>
    <xf numFmtId="0" fontId="2" fillId="7" borderId="29" xfId="0" applyFont="1" applyFill="1" applyBorder="1" applyAlignment="1" applyProtection="1">
      <alignment horizontal="left"/>
      <protection hidden="1"/>
    </xf>
    <xf numFmtId="0" fontId="0" fillId="7" borderId="28" xfId="0" applyFill="1" applyBorder="1" applyAlignment="1" applyProtection="1">
      <alignment horizontal="left"/>
      <protection hidden="1"/>
    </xf>
    <xf numFmtId="0" fontId="1" fillId="9" borderId="30" xfId="0" applyFont="1" applyFill="1" applyBorder="1" applyAlignment="1" applyProtection="1">
      <alignment horizontal="center" vertical="center"/>
      <protection hidden="1"/>
    </xf>
    <xf numFmtId="0" fontId="1" fillId="9" borderId="29" xfId="0" applyFont="1" applyFill="1" applyBorder="1" applyAlignment="1" applyProtection="1">
      <alignment horizontal="center" vertical="center"/>
      <protection hidden="1"/>
    </xf>
    <xf numFmtId="0" fontId="1" fillId="9" borderId="28" xfId="0" applyFont="1" applyFill="1" applyBorder="1" applyAlignment="1" applyProtection="1">
      <alignment horizontal="center" vertical="center"/>
      <protection hidden="1"/>
    </xf>
    <xf numFmtId="0" fontId="2" fillId="8" borderId="30" xfId="0" applyFont="1" applyFill="1" applyBorder="1" applyAlignment="1" applyProtection="1">
      <alignment horizontal="left"/>
      <protection locked="0"/>
    </xf>
    <xf numFmtId="180" fontId="0" fillId="0" borderId="29" xfId="0" applyNumberFormat="1" applyFill="1" applyBorder="1" applyAlignment="1" applyProtection="1">
      <alignment horizontal="center"/>
      <protection hidden="1"/>
    </xf>
    <xf numFmtId="0" fontId="2" fillId="7" borderId="2" xfId="0" applyFont="1" applyFill="1" applyBorder="1" applyAlignment="1" applyProtection="1">
      <protection hidden="1"/>
    </xf>
    <xf numFmtId="0" fontId="2" fillId="0" borderId="0" xfId="0" applyFont="1" applyAlignment="1"/>
    <xf numFmtId="44" fontId="2" fillId="7" borderId="0" xfId="0" applyNumberFormat="1" applyFont="1" applyFill="1" applyBorder="1" applyAlignment="1" applyProtection="1">
      <protection locked="0"/>
    </xf>
    <xf numFmtId="0" fontId="45" fillId="2" borderId="5" xfId="0" applyFont="1" applyFill="1" applyBorder="1" applyAlignment="1" applyProtection="1">
      <alignment horizontal="center"/>
      <protection hidden="1"/>
    </xf>
    <xf numFmtId="0" fontId="2" fillId="9" borderId="48" xfId="0" applyFont="1" applyFill="1" applyBorder="1" applyAlignment="1" applyProtection="1">
      <alignment horizontal="left"/>
      <protection locked="0"/>
    </xf>
    <xf numFmtId="0" fontId="0" fillId="9" borderId="49" xfId="0" applyFill="1" applyBorder="1" applyAlignment="1" applyProtection="1">
      <protection locked="0"/>
    </xf>
    <xf numFmtId="0" fontId="0" fillId="9" borderId="50" xfId="0" applyFill="1" applyBorder="1" applyAlignment="1" applyProtection="1">
      <protection locked="0"/>
    </xf>
    <xf numFmtId="0" fontId="2" fillId="9" borderId="4" xfId="0" applyFont="1" applyFill="1" applyBorder="1" applyAlignment="1" applyProtection="1">
      <alignment horizontal="left"/>
      <protection locked="0"/>
    </xf>
    <xf numFmtId="0" fontId="0" fillId="9" borderId="5" xfId="0" applyFill="1" applyBorder="1" applyAlignment="1" applyProtection="1">
      <protection locked="0"/>
    </xf>
    <xf numFmtId="0" fontId="0" fillId="9" borderId="1" xfId="0" applyFill="1" applyBorder="1" applyAlignment="1" applyProtection="1">
      <protection locked="0"/>
    </xf>
    <xf numFmtId="0" fontId="2" fillId="7" borderId="0" xfId="0" applyFont="1" applyFill="1" applyAlignment="1"/>
    <xf numFmtId="0" fontId="2" fillId="9" borderId="30" xfId="0" applyNumberFormat="1" applyFont="1" applyFill="1" applyBorder="1" applyAlignment="1" applyProtection="1">
      <alignment horizontal="left"/>
      <protection locked="0"/>
    </xf>
    <xf numFmtId="0" fontId="0" fillId="0" borderId="29" xfId="0" applyNumberFormat="1" applyBorder="1" applyAlignment="1" applyProtection="1">
      <alignment horizontal="left"/>
      <protection locked="0"/>
    </xf>
    <xf numFmtId="0" fontId="0" fillId="0" borderId="28" xfId="0" applyNumberFormat="1" applyBorder="1" applyAlignment="1" applyProtection="1">
      <alignment horizontal="left"/>
      <protection locked="0"/>
    </xf>
    <xf numFmtId="0" fontId="2" fillId="2" borderId="30" xfId="0" applyFont="1" applyFill="1" applyBorder="1" applyAlignment="1" applyProtection="1">
      <alignment horizontal="left"/>
      <protection locked="0"/>
    </xf>
    <xf numFmtId="0" fontId="10" fillId="7" borderId="0" xfId="0" applyFont="1" applyFill="1" applyAlignment="1" applyProtection="1">
      <protection hidden="1"/>
    </xf>
    <xf numFmtId="49" fontId="0" fillId="7" borderId="0" xfId="0" applyNumberFormat="1" applyFill="1" applyBorder="1" applyAlignment="1" applyProtection="1">
      <alignment wrapText="1"/>
      <protection hidden="1"/>
    </xf>
    <xf numFmtId="0" fontId="0" fillId="7" borderId="0" xfId="0" applyFill="1" applyBorder="1" applyAlignment="1" applyProtection="1">
      <alignment wrapText="1"/>
      <protection hidden="1"/>
    </xf>
    <xf numFmtId="0" fontId="2" fillId="7" borderId="0" xfId="0" applyFont="1" applyFill="1" applyAlignment="1" applyProtection="1">
      <alignment vertical="top" wrapText="1"/>
      <protection hidden="1"/>
    </xf>
    <xf numFmtId="44" fontId="2" fillId="7" borderId="5" xfId="0" applyNumberFormat="1" applyFont="1" applyFill="1" applyBorder="1" applyAlignment="1">
      <alignment horizontal="center" vertical="top" wrapText="1"/>
    </xf>
    <xf numFmtId="44" fontId="0" fillId="7" borderId="5" xfId="0" applyNumberFormat="1" applyFill="1" applyBorder="1" applyAlignment="1">
      <alignment horizontal="center" wrapText="1"/>
    </xf>
    <xf numFmtId="0" fontId="4" fillId="7" borderId="0" xfId="0" applyNumberFormat="1" applyFont="1" applyFill="1" applyAlignment="1">
      <alignment vertical="top" wrapText="1"/>
    </xf>
    <xf numFmtId="0" fontId="2" fillId="7" borderId="0" xfId="0" applyFont="1" applyFill="1" applyAlignment="1" applyProtection="1">
      <alignment wrapText="1"/>
      <protection hidden="1"/>
    </xf>
    <xf numFmtId="0" fontId="0" fillId="7" borderId="0" xfId="0" applyFill="1" applyAlignment="1" applyProtection="1">
      <alignment horizontal="left" wrapText="1"/>
      <protection hidden="1"/>
    </xf>
    <xf numFmtId="0" fontId="4" fillId="7" borderId="0" xfId="0" applyNumberFormat="1" applyFont="1" applyFill="1" applyBorder="1" applyAlignment="1" applyProtection="1">
      <alignment vertical="top" wrapText="1"/>
      <protection hidden="1"/>
    </xf>
    <xf numFmtId="168" fontId="2" fillId="7" borderId="5" xfId="0" applyNumberFormat="1" applyFont="1" applyFill="1" applyBorder="1" applyAlignment="1" applyProtection="1">
      <alignment horizontal="center"/>
      <protection hidden="1"/>
    </xf>
    <xf numFmtId="0" fontId="0" fillId="7" borderId="5" xfId="0" applyFill="1" applyBorder="1" applyAlignment="1"/>
    <xf numFmtId="0" fontId="4" fillId="7" borderId="0" xfId="0" applyFont="1" applyFill="1" applyBorder="1" applyAlignment="1" applyProtection="1">
      <alignment wrapText="1"/>
      <protection hidden="1"/>
    </xf>
    <xf numFmtId="168" fontId="2" fillId="7" borderId="5" xfId="0" applyNumberFormat="1" applyFont="1" applyFill="1" applyBorder="1" applyAlignment="1" applyProtection="1">
      <alignment horizontal="center" wrapText="1"/>
      <protection hidden="1"/>
    </xf>
    <xf numFmtId="168" fontId="0" fillId="7" borderId="5" xfId="0" applyNumberFormat="1" applyFill="1" applyBorder="1" applyAlignment="1">
      <alignment wrapText="1"/>
    </xf>
    <xf numFmtId="0" fontId="4" fillId="7" borderId="0" xfId="0" applyFont="1" applyFill="1" applyAlignment="1" applyProtection="1">
      <alignment horizontal="left"/>
      <protection hidden="1"/>
    </xf>
    <xf numFmtId="189" fontId="2" fillId="7" borderId="5" xfId="0" applyNumberFormat="1" applyFont="1" applyFill="1" applyBorder="1" applyAlignment="1">
      <alignment horizontal="center"/>
    </xf>
    <xf numFmtId="189" fontId="2" fillId="0" borderId="5" xfId="0" applyNumberFormat="1" applyFont="1" applyBorder="1" applyAlignment="1">
      <alignment horizontal="center"/>
    </xf>
    <xf numFmtId="168" fontId="1" fillId="7" borderId="0" xfId="0" applyNumberFormat="1" applyFont="1" applyFill="1" applyBorder="1" applyAlignment="1" applyProtection="1">
      <alignment horizontal="center" wrapText="1"/>
      <protection hidden="1"/>
    </xf>
    <xf numFmtId="0" fontId="0" fillId="0" borderId="0" xfId="0" applyBorder="1" applyProtection="1">
      <protection hidden="1"/>
    </xf>
    <xf numFmtId="173" fontId="2" fillId="7" borderId="5" xfId="0" applyNumberFormat="1" applyFont="1" applyFill="1" applyBorder="1" applyAlignment="1">
      <alignment horizontal="center" wrapText="1"/>
    </xf>
    <xf numFmtId="173" fontId="2" fillId="0" borderId="5" xfId="0" applyNumberFormat="1" applyFont="1" applyBorder="1" applyAlignment="1">
      <alignment horizontal="center" wrapText="1"/>
    </xf>
    <xf numFmtId="0" fontId="1" fillId="7" borderId="0" xfId="0" applyFont="1" applyFill="1" applyBorder="1" applyAlignment="1">
      <alignment vertical="top" wrapText="1"/>
    </xf>
    <xf numFmtId="0" fontId="0" fillId="7" borderId="0" xfId="0" applyFill="1" applyBorder="1" applyAlignment="1">
      <alignment vertical="top" wrapText="1"/>
    </xf>
    <xf numFmtId="0" fontId="0" fillId="7" borderId="0" xfId="0" applyFill="1" applyAlignment="1">
      <alignment horizontal="center"/>
    </xf>
    <xf numFmtId="0" fontId="5" fillId="7" borderId="0" xfId="0" applyFont="1" applyFill="1" applyAlignment="1" applyProtection="1">
      <alignment horizontal="center" wrapText="1"/>
      <protection hidden="1"/>
    </xf>
    <xf numFmtId="0" fontId="2" fillId="7" borderId="0" xfId="0" applyFont="1" applyFill="1" applyAlignment="1">
      <alignment wrapText="1"/>
    </xf>
    <xf numFmtId="0" fontId="5" fillId="7" borderId="5" xfId="0" applyFont="1" applyFill="1" applyBorder="1" applyAlignment="1" applyProtection="1">
      <alignment horizontal="left" wrapText="1"/>
      <protection hidden="1"/>
    </xf>
    <xf numFmtId="0" fontId="0" fillId="7" borderId="5" xfId="0" applyFill="1" applyBorder="1" applyAlignment="1">
      <alignment wrapText="1"/>
    </xf>
    <xf numFmtId="0" fontId="5" fillId="7" borderId="0" xfId="0" applyFont="1" applyFill="1" applyBorder="1" applyAlignment="1" applyProtection="1">
      <alignment horizontal="left" wrapText="1"/>
      <protection hidden="1"/>
    </xf>
    <xf numFmtId="0" fontId="8" fillId="7" borderId="45" xfId="0" applyFont="1" applyFill="1" applyBorder="1" applyAlignment="1" applyProtection="1">
      <alignment horizontal="left" wrapText="1"/>
      <protection hidden="1"/>
    </xf>
    <xf numFmtId="49" fontId="0" fillId="7" borderId="5" xfId="0" applyNumberFormat="1" applyFill="1" applyBorder="1" applyAlignment="1" applyProtection="1">
      <alignment wrapText="1"/>
      <protection hidden="1"/>
    </xf>
    <xf numFmtId="0" fontId="0" fillId="7" borderId="45" xfId="0" applyFill="1" applyBorder="1" applyAlignment="1">
      <alignment wrapText="1"/>
    </xf>
    <xf numFmtId="0" fontId="2" fillId="7" borderId="0" xfId="0" applyFont="1" applyFill="1" applyAlignment="1" applyProtection="1">
      <alignment horizontal="right" wrapText="1"/>
      <protection hidden="1"/>
    </xf>
    <xf numFmtId="0" fontId="2" fillId="7" borderId="0" xfId="0" applyFont="1" applyFill="1" applyAlignment="1" applyProtection="1">
      <alignment horizontal="right"/>
      <protection hidden="1"/>
    </xf>
    <xf numFmtId="0" fontId="0" fillId="7" borderId="0" xfId="0" applyFill="1" applyAlignment="1">
      <alignment horizontal="right"/>
    </xf>
    <xf numFmtId="0" fontId="3" fillId="7" borderId="0" xfId="0" applyFont="1" applyFill="1" applyAlignment="1" applyProtection="1">
      <alignment horizontal="center" vertical="center" wrapText="1"/>
      <protection hidden="1"/>
    </xf>
    <xf numFmtId="0" fontId="26" fillId="7" borderId="0" xfId="0" applyFont="1" applyFill="1" applyAlignment="1">
      <alignment wrapText="1"/>
    </xf>
    <xf numFmtId="0" fontId="3" fillId="7" borderId="0" xfId="0" applyFont="1" applyFill="1" applyBorder="1" applyAlignment="1" applyProtection="1">
      <alignment horizontal="center" wrapText="1"/>
      <protection hidden="1"/>
    </xf>
    <xf numFmtId="0" fontId="26" fillId="7" borderId="5" xfId="0" applyFont="1" applyFill="1" applyBorder="1" applyAlignment="1">
      <alignment wrapText="1"/>
    </xf>
    <xf numFmtId="0" fontId="5" fillId="7" borderId="45" xfId="0" applyFont="1" applyFill="1" applyBorder="1" applyAlignment="1">
      <alignment horizontal="center" wrapText="1"/>
    </xf>
    <xf numFmtId="0" fontId="5" fillId="0" borderId="45" xfId="0" applyFont="1" applyBorder="1" applyAlignment="1">
      <alignment horizontal="center" wrapText="1"/>
    </xf>
    <xf numFmtId="0" fontId="5" fillId="0" borderId="5" xfId="0" applyFont="1" applyBorder="1" applyAlignment="1">
      <alignment horizontal="center" wrapText="1"/>
    </xf>
    <xf numFmtId="0" fontId="8" fillId="7" borderId="45" xfId="0" applyFont="1" applyFill="1" applyBorder="1" applyAlignment="1" applyProtection="1">
      <alignment horizontal="right" wrapText="1"/>
      <protection hidden="1"/>
    </xf>
    <xf numFmtId="0" fontId="0" fillId="7" borderId="0" xfId="0" applyFill="1" applyAlignment="1" applyProtection="1">
      <alignment wrapText="1"/>
      <protection hidden="1"/>
    </xf>
    <xf numFmtId="0" fontId="10" fillId="7" borderId="0" xfId="0" applyFont="1" applyFill="1" applyAlignment="1" applyProtection="1">
      <alignment horizontal="left" wrapText="1"/>
      <protection hidden="1"/>
    </xf>
    <xf numFmtId="0" fontId="2" fillId="7" borderId="0" xfId="0" applyFont="1" applyFill="1" applyBorder="1" applyAlignment="1" applyProtection="1">
      <alignment vertical="top" wrapText="1"/>
      <protection hidden="1"/>
    </xf>
    <xf numFmtId="168" fontId="0" fillId="7" borderId="5" xfId="0" applyNumberFormat="1" applyFill="1" applyBorder="1" applyAlignment="1" applyProtection="1">
      <alignment horizontal="left" wrapText="1"/>
      <protection hidden="1"/>
    </xf>
    <xf numFmtId="0" fontId="0" fillId="0" borderId="0" xfId="0" applyAlignment="1">
      <alignment vertical="top" wrapText="1"/>
    </xf>
    <xf numFmtId="0" fontId="1" fillId="7" borderId="0" xfId="0" applyFont="1" applyFill="1" applyAlignment="1" applyProtection="1">
      <alignment horizontal="left" vertical="top"/>
      <protection hidden="1"/>
    </xf>
    <xf numFmtId="0" fontId="0" fillId="0" borderId="0" xfId="0" applyAlignment="1">
      <alignment vertical="top"/>
    </xf>
    <xf numFmtId="0" fontId="2" fillId="7" borderId="0" xfId="0" applyFont="1" applyFill="1" applyAlignment="1" applyProtection="1">
      <alignment horizontal="left" wrapText="1"/>
      <protection hidden="1"/>
    </xf>
    <xf numFmtId="0" fontId="0" fillId="7" borderId="5" xfId="0" applyFill="1" applyBorder="1" applyAlignment="1" applyProtection="1">
      <alignment vertical="top" wrapText="1"/>
      <protection hidden="1"/>
    </xf>
    <xf numFmtId="0" fontId="0" fillId="0" borderId="5" xfId="0" applyBorder="1" applyAlignment="1">
      <alignment vertical="top" wrapText="1"/>
    </xf>
    <xf numFmtId="0" fontId="1" fillId="7" borderId="0" xfId="0" applyFont="1" applyFill="1" applyAlignment="1" applyProtection="1">
      <alignment vertical="top"/>
      <protection hidden="1"/>
    </xf>
    <xf numFmtId="49" fontId="0" fillId="7" borderId="0" xfId="0" applyNumberFormat="1" applyFill="1" applyAlignment="1" applyProtection="1">
      <alignment wrapText="1"/>
      <protection hidden="1"/>
    </xf>
    <xf numFmtId="0" fontId="0" fillId="7" borderId="0" xfId="0" applyFill="1" applyAlignment="1" applyProtection="1">
      <alignment vertical="top" wrapText="1"/>
      <protection hidden="1"/>
    </xf>
    <xf numFmtId="180" fontId="2" fillId="7" borderId="5" xfId="0" applyNumberFormat="1" applyFont="1" applyFill="1" applyBorder="1" applyAlignment="1" applyProtection="1">
      <alignment horizontal="center"/>
      <protection hidden="1"/>
    </xf>
    <xf numFmtId="49" fontId="2" fillId="7" borderId="45" xfId="0" applyNumberFormat="1" applyFont="1" applyFill="1" applyBorder="1" applyAlignment="1" applyProtection="1">
      <alignment vertical="top" wrapText="1"/>
      <protection hidden="1"/>
    </xf>
    <xf numFmtId="0" fontId="2" fillId="7" borderId="45" xfId="0" applyFont="1" applyFill="1" applyBorder="1" applyAlignment="1">
      <alignment wrapText="1"/>
    </xf>
    <xf numFmtId="0" fontId="0" fillId="7" borderId="5" xfId="0" applyFill="1" applyBorder="1" applyAlignment="1">
      <alignment vertical="top"/>
    </xf>
    <xf numFmtId="0" fontId="2" fillId="7" borderId="45" xfId="0" applyFont="1" applyFill="1" applyBorder="1" applyAlignment="1" applyProtection="1">
      <alignment vertical="top" wrapText="1"/>
      <protection hidden="1"/>
    </xf>
    <xf numFmtId="0" fontId="0" fillId="7" borderId="5" xfId="0" applyFill="1" applyBorder="1" applyAlignment="1">
      <alignment vertical="top" wrapText="1"/>
    </xf>
    <xf numFmtId="0" fontId="0" fillId="7" borderId="0" xfId="0" applyFill="1" applyAlignment="1" applyProtection="1">
      <alignment vertical="top"/>
      <protection hidden="1"/>
    </xf>
    <xf numFmtId="49" fontId="1" fillId="7" borderId="0" xfId="0" applyNumberFormat="1" applyFont="1" applyFill="1" applyAlignment="1" applyProtection="1">
      <alignment vertical="top"/>
      <protection hidden="1"/>
    </xf>
    <xf numFmtId="14" fontId="0" fillId="7" borderId="0" xfId="0" applyNumberFormat="1" applyFill="1" applyBorder="1" applyAlignment="1" applyProtection="1">
      <alignment horizontal="center" vertical="top"/>
      <protection hidden="1"/>
    </xf>
    <xf numFmtId="0" fontId="0" fillId="7" borderId="0" xfId="0" applyFill="1" applyBorder="1" applyAlignment="1">
      <alignment vertical="top"/>
    </xf>
    <xf numFmtId="0" fontId="1" fillId="7" borderId="0" xfId="0" applyFont="1" applyFill="1" applyAlignment="1" applyProtection="1">
      <alignment vertical="top" wrapText="1"/>
      <protection hidden="1"/>
    </xf>
    <xf numFmtId="49" fontId="1" fillId="7" borderId="0" xfId="0" applyNumberFormat="1" applyFont="1" applyFill="1" applyAlignment="1" applyProtection="1">
      <alignment vertical="top" wrapText="1"/>
      <protection hidden="1"/>
    </xf>
    <xf numFmtId="0" fontId="0" fillId="7" borderId="0" xfId="0" applyNumberFormat="1" applyFill="1" applyBorder="1" applyAlignment="1" applyProtection="1">
      <alignment horizontal="left" vertical="top" wrapText="1"/>
      <protection hidden="1"/>
    </xf>
    <xf numFmtId="0" fontId="2" fillId="7" borderId="30" xfId="0" applyFont="1" applyFill="1" applyBorder="1" applyAlignment="1" applyProtection="1">
      <alignment horizontal="center" vertical="top" wrapText="1"/>
      <protection hidden="1"/>
    </xf>
    <xf numFmtId="0" fontId="0" fillId="7" borderId="29" xfId="0" applyFill="1" applyBorder="1" applyAlignment="1">
      <alignment vertical="top" wrapText="1"/>
    </xf>
    <xf numFmtId="0" fontId="0" fillId="7" borderId="28" xfId="0" applyFill="1" applyBorder="1" applyAlignment="1">
      <alignment vertical="top" wrapText="1"/>
    </xf>
    <xf numFmtId="0" fontId="2" fillId="0" borderId="0" xfId="0" applyFont="1" applyAlignment="1">
      <alignment vertical="top"/>
    </xf>
    <xf numFmtId="0" fontId="4" fillId="7" borderId="0" xfId="0" applyFont="1" applyFill="1" applyBorder="1" applyAlignment="1" applyProtection="1">
      <alignment horizontal="left" vertical="top" wrapText="1"/>
      <protection hidden="1"/>
    </xf>
    <xf numFmtId="0" fontId="0" fillId="0" borderId="0" xfId="0" applyBorder="1" applyAlignment="1">
      <alignment vertical="top" wrapText="1"/>
    </xf>
    <xf numFmtId="173" fontId="2" fillId="0" borderId="5" xfId="0" applyNumberFormat="1" applyFont="1" applyBorder="1" applyAlignment="1">
      <alignment horizontal="center"/>
    </xf>
    <xf numFmtId="0" fontId="2" fillId="0" borderId="5" xfId="0" applyFont="1" applyBorder="1" applyAlignment="1">
      <alignment horizontal="center"/>
    </xf>
    <xf numFmtId="0" fontId="0" fillId="7" borderId="0" xfId="0" applyFill="1" applyAlignment="1" applyProtection="1">
      <alignment horizontal="left"/>
      <protection hidden="1"/>
    </xf>
    <xf numFmtId="180" fontId="2" fillId="7" borderId="5" xfId="0" applyNumberFormat="1" applyFont="1" applyFill="1" applyBorder="1" applyAlignment="1">
      <alignment horizontal="center" wrapText="1"/>
    </xf>
    <xf numFmtId="0" fontId="1" fillId="7" borderId="45" xfId="0" applyFont="1" applyFill="1" applyBorder="1" applyAlignment="1">
      <alignment wrapText="1"/>
    </xf>
    <xf numFmtId="0" fontId="0" fillId="7" borderId="0" xfId="0" applyFill="1" applyBorder="1" applyAlignment="1">
      <alignment wrapText="1"/>
    </xf>
    <xf numFmtId="174" fontId="2" fillId="7" borderId="5" xfId="0" applyNumberFormat="1" applyFont="1" applyFill="1" applyBorder="1" applyAlignment="1" applyProtection="1">
      <alignment horizontal="center" wrapText="1"/>
      <protection hidden="1"/>
    </xf>
    <xf numFmtId="183" fontId="2" fillId="7" borderId="5" xfId="0" applyNumberFormat="1" applyFont="1" applyFill="1" applyBorder="1" applyAlignment="1">
      <alignment horizontal="center" wrapText="1"/>
    </xf>
    <xf numFmtId="183" fontId="0" fillId="7" borderId="5" xfId="0" applyNumberFormat="1" applyFill="1" applyBorder="1" applyAlignment="1">
      <alignment horizontal="center" wrapText="1"/>
    </xf>
    <xf numFmtId="0" fontId="2" fillId="7" borderId="0" xfId="0" applyFont="1" applyFill="1" applyAlignment="1" applyProtection="1">
      <protection hidden="1"/>
    </xf>
    <xf numFmtId="0" fontId="2" fillId="7" borderId="5" xfId="0" applyFont="1" applyFill="1" applyBorder="1" applyAlignment="1" applyProtection="1">
      <alignment horizontal="center" wrapText="1"/>
      <protection hidden="1"/>
    </xf>
    <xf numFmtId="186" fontId="2" fillId="7" borderId="5" xfId="0" applyNumberFormat="1" applyFont="1" applyFill="1" applyBorder="1" applyAlignment="1" applyProtection="1">
      <alignment horizontal="center" wrapText="1"/>
      <protection hidden="1"/>
    </xf>
    <xf numFmtId="0" fontId="0" fillId="0" borderId="5" xfId="0" applyBorder="1" applyAlignment="1">
      <alignment horizontal="center" wrapText="1"/>
    </xf>
    <xf numFmtId="0" fontId="1" fillId="7" borderId="0" xfId="0" applyFont="1" applyFill="1" applyBorder="1" applyAlignment="1" applyProtection="1">
      <alignment horizontal="left" vertical="top" wrapText="1"/>
      <protection hidden="1"/>
    </xf>
    <xf numFmtId="9" fontId="2" fillId="7" borderId="5" xfId="0" applyNumberFormat="1" applyFont="1" applyFill="1" applyBorder="1" applyAlignment="1" applyProtection="1">
      <alignment horizontal="center" vertical="top" wrapText="1"/>
      <protection hidden="1"/>
    </xf>
    <xf numFmtId="0" fontId="2" fillId="7" borderId="5" xfId="0" applyFont="1" applyFill="1" applyBorder="1" applyAlignment="1">
      <alignment vertical="top" wrapText="1"/>
    </xf>
    <xf numFmtId="0" fontId="0" fillId="7" borderId="0" xfId="0" applyFill="1" applyAlignment="1" applyProtection="1">
      <alignment horizontal="right" vertical="top" wrapText="1"/>
      <protection hidden="1"/>
    </xf>
    <xf numFmtId="0" fontId="4" fillId="7" borderId="0" xfId="0" applyFont="1" applyFill="1" applyBorder="1" applyAlignment="1" applyProtection="1">
      <protection hidden="1"/>
    </xf>
    <xf numFmtId="0" fontId="2" fillId="2" borderId="0" xfId="0" applyFont="1" applyFill="1" applyAlignment="1" applyProtection="1">
      <alignment vertical="top"/>
      <protection hidden="1"/>
    </xf>
    <xf numFmtId="0" fontId="0" fillId="0" borderId="0" xfId="0" applyBorder="1" applyAlignment="1">
      <alignment wrapText="1"/>
    </xf>
    <xf numFmtId="0" fontId="4" fillId="7" borderId="0" xfId="0" applyFont="1" applyFill="1" applyBorder="1" applyAlignment="1" applyProtection="1">
      <alignment horizontal="left" vertical="top"/>
      <protection hidden="1"/>
    </xf>
    <xf numFmtId="0" fontId="4" fillId="7" borderId="0" xfId="0" applyFont="1" applyFill="1" applyAlignment="1" applyProtection="1">
      <alignment horizontal="left" vertical="top"/>
      <protection hidden="1"/>
    </xf>
    <xf numFmtId="49" fontId="2" fillId="7" borderId="0" xfId="0" applyNumberFormat="1" applyFont="1" applyFill="1" applyAlignment="1" applyProtection="1">
      <alignment vertical="top" wrapText="1"/>
      <protection hidden="1"/>
    </xf>
    <xf numFmtId="0" fontId="1" fillId="7" borderId="0" xfId="0" applyNumberFormat="1" applyFont="1" applyFill="1" applyBorder="1" applyAlignment="1" applyProtection="1">
      <alignment horizontal="left" vertical="top"/>
      <protection hidden="1"/>
    </xf>
    <xf numFmtId="0" fontId="2" fillId="7" borderId="26" xfId="0" applyFont="1" applyFill="1" applyBorder="1" applyAlignment="1" applyProtection="1">
      <alignment horizontal="center" vertical="center" wrapText="1"/>
      <protection hidden="1"/>
    </xf>
    <xf numFmtId="0" fontId="0" fillId="7" borderId="26" xfId="0" applyFill="1" applyBorder="1" applyAlignment="1">
      <alignment wrapText="1"/>
    </xf>
    <xf numFmtId="0" fontId="0" fillId="2" borderId="0" xfId="0" applyFill="1" applyAlignment="1" applyProtection="1">
      <alignment vertical="top"/>
      <protection hidden="1"/>
    </xf>
    <xf numFmtId="14" fontId="2" fillId="7" borderId="26" xfId="0" applyNumberFormat="1" applyFont="1" applyFill="1" applyBorder="1" applyAlignment="1" applyProtection="1">
      <alignment horizontal="center" vertical="center" wrapText="1"/>
      <protection hidden="1"/>
    </xf>
    <xf numFmtId="0" fontId="0" fillId="7" borderId="30" xfId="0" applyFill="1" applyBorder="1" applyAlignment="1">
      <alignment wrapText="1"/>
    </xf>
    <xf numFmtId="186" fontId="2" fillId="7" borderId="5" xfId="0" applyNumberFormat="1" applyFont="1" applyFill="1" applyBorder="1" applyAlignment="1" applyProtection="1">
      <alignment horizontal="center"/>
      <protection hidden="1"/>
    </xf>
    <xf numFmtId="180" fontId="2" fillId="2" borderId="5" xfId="0" applyNumberFormat="1" applyFont="1" applyFill="1" applyBorder="1" applyAlignment="1" applyProtection="1">
      <alignment horizontal="center" vertical="top"/>
      <protection hidden="1"/>
    </xf>
    <xf numFmtId="180" fontId="0" fillId="0" borderId="5" xfId="0" applyNumberFormat="1" applyBorder="1" applyAlignment="1"/>
    <xf numFmtId="0" fontId="1" fillId="2" borderId="0" xfId="0" applyFont="1" applyFill="1" applyBorder="1" applyAlignment="1" applyProtection="1">
      <alignment vertical="top"/>
      <protection hidden="1"/>
    </xf>
    <xf numFmtId="0" fontId="4" fillId="2" borderId="0" xfId="0" applyFont="1" applyFill="1" applyAlignment="1" applyProtection="1">
      <alignment horizontal="left" vertical="top"/>
      <protection hidden="1"/>
    </xf>
    <xf numFmtId="0" fontId="0" fillId="0" borderId="0" xfId="0" applyAlignment="1">
      <alignment horizontal="left" vertical="top"/>
    </xf>
    <xf numFmtId="0" fontId="4" fillId="2" borderId="30" xfId="0" applyFont="1" applyFill="1" applyBorder="1" applyAlignment="1" applyProtection="1">
      <alignment horizontal="center" vertical="top"/>
      <protection hidden="1"/>
    </xf>
    <xf numFmtId="0" fontId="0" fillId="2" borderId="28" xfId="0" applyFill="1" applyBorder="1" applyAlignment="1" applyProtection="1">
      <alignment horizontal="center" vertical="top"/>
      <protection hidden="1"/>
    </xf>
    <xf numFmtId="0" fontId="4" fillId="2" borderId="30" xfId="0" applyNumberFormat="1" applyFont="1" applyFill="1" applyBorder="1" applyAlignment="1" applyProtection="1">
      <alignment horizontal="center" vertical="top"/>
      <protection hidden="1"/>
    </xf>
    <xf numFmtId="49" fontId="1" fillId="2" borderId="0" xfId="0" applyNumberFormat="1" applyFont="1" applyFill="1" applyAlignment="1" applyProtection="1">
      <alignment vertical="top" wrapText="1"/>
      <protection hidden="1"/>
    </xf>
    <xf numFmtId="0" fontId="2" fillId="2" borderId="32" xfId="0" applyFont="1" applyFill="1" applyBorder="1" applyAlignment="1" applyProtection="1">
      <alignment horizontal="center" vertical="center" wrapText="1"/>
      <protection hidden="1"/>
    </xf>
    <xf numFmtId="0" fontId="2" fillId="2" borderId="27" xfId="0" applyFont="1" applyFill="1" applyBorder="1" applyAlignment="1" applyProtection="1">
      <alignment horizontal="center" vertical="center" wrapText="1"/>
      <protection hidden="1"/>
    </xf>
    <xf numFmtId="0" fontId="4" fillId="2" borderId="27"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1" fillId="2" borderId="0" xfId="0" applyFont="1" applyFill="1" applyBorder="1" applyAlignment="1" applyProtection="1">
      <alignment vertical="top" wrapText="1"/>
      <protection hidden="1"/>
    </xf>
    <xf numFmtId="0" fontId="0" fillId="2" borderId="0" xfId="0" applyFill="1" applyAlignment="1" applyProtection="1">
      <alignment vertical="top" wrapText="1"/>
      <protection hidden="1"/>
    </xf>
    <xf numFmtId="14" fontId="4" fillId="2" borderId="30" xfId="0" applyNumberFormat="1" applyFont="1" applyFill="1" applyBorder="1" applyAlignment="1" applyProtection="1">
      <alignment horizontal="center" vertical="top"/>
      <protection hidden="1"/>
    </xf>
    <xf numFmtId="1" fontId="2" fillId="2" borderId="4" xfId="0" applyNumberFormat="1" applyFont="1" applyFill="1" applyBorder="1" applyAlignment="1" applyProtection="1">
      <alignment horizontal="center" vertical="top"/>
      <protection hidden="1"/>
    </xf>
    <xf numFmtId="0" fontId="0" fillId="2" borderId="1" xfId="0" applyFill="1" applyBorder="1" applyAlignment="1" applyProtection="1">
      <alignment horizontal="center" vertical="top"/>
      <protection hidden="1"/>
    </xf>
    <xf numFmtId="0" fontId="0" fillId="2" borderId="3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29" xfId="0" applyFill="1" applyBorder="1" applyAlignment="1" applyProtection="1">
      <alignment vertical="top" wrapText="1"/>
      <protection hidden="1"/>
    </xf>
    <xf numFmtId="0" fontId="0" fillId="2" borderId="28" xfId="0" applyFill="1" applyBorder="1" applyAlignment="1" applyProtection="1">
      <alignment vertical="top" wrapText="1"/>
      <protection hidden="1"/>
    </xf>
    <xf numFmtId="0" fontId="4" fillId="7" borderId="0" xfId="0" applyNumberFormat="1" applyFont="1" applyFill="1" applyBorder="1" applyAlignment="1" applyProtection="1">
      <alignment vertical="top"/>
      <protection hidden="1"/>
    </xf>
    <xf numFmtId="189" fontId="2" fillId="7" borderId="5" xfId="0" applyNumberFormat="1" applyFont="1" applyFill="1" applyBorder="1" applyAlignment="1" applyProtection="1">
      <alignment horizontal="center" vertical="top"/>
      <protection hidden="1"/>
    </xf>
    <xf numFmtId="0" fontId="5" fillId="2" borderId="0" xfId="0" applyFont="1" applyFill="1" applyAlignment="1" applyProtection="1">
      <alignment horizontal="center"/>
      <protection hidden="1"/>
    </xf>
    <xf numFmtId="0" fontId="4" fillId="2" borderId="0" xfId="0" applyFont="1" applyFill="1" applyAlignment="1" applyProtection="1">
      <alignment vertical="top"/>
      <protection hidden="1"/>
    </xf>
    <xf numFmtId="0" fontId="2" fillId="7" borderId="0" xfId="0" applyFont="1" applyFill="1" applyAlignment="1" applyProtection="1">
      <alignment vertical="top"/>
      <protection hidden="1"/>
    </xf>
    <xf numFmtId="0" fontId="4" fillId="7" borderId="0" xfId="0" applyFont="1" applyFill="1" applyAlignment="1" applyProtection="1">
      <alignment vertical="top"/>
      <protection hidden="1"/>
    </xf>
    <xf numFmtId="0" fontId="0" fillId="7" borderId="0" xfId="0" applyFill="1" applyAlignment="1">
      <alignment vertical="top"/>
    </xf>
    <xf numFmtId="174" fontId="2" fillId="2" borderId="5" xfId="0" applyNumberFormat="1" applyFont="1" applyFill="1" applyBorder="1" applyAlignment="1" applyProtection="1">
      <alignment horizontal="center" vertical="top"/>
      <protection hidden="1"/>
    </xf>
    <xf numFmtId="189" fontId="32" fillId="2" borderId="5" xfId="2" applyNumberFormat="1" applyFont="1" applyFill="1" applyBorder="1" applyAlignment="1" applyProtection="1">
      <alignment horizontal="center" vertical="top"/>
      <protection hidden="1"/>
    </xf>
    <xf numFmtId="189" fontId="33" fillId="2" borderId="5" xfId="0" applyNumberFormat="1" applyFont="1" applyFill="1" applyBorder="1" applyAlignment="1" applyProtection="1">
      <alignment horizontal="center" vertical="top"/>
      <protection hidden="1"/>
    </xf>
    <xf numFmtId="0" fontId="2" fillId="2" borderId="0" xfId="0" applyFont="1" applyFill="1" applyAlignment="1" applyProtection="1">
      <alignment vertical="top" wrapText="1"/>
      <protection hidden="1"/>
    </xf>
    <xf numFmtId="8" fontId="2" fillId="2" borderId="0" xfId="0" applyNumberFormat="1" applyFont="1" applyFill="1" applyAlignment="1" applyProtection="1">
      <alignment horizontal="right" vertical="top"/>
      <protection hidden="1"/>
    </xf>
    <xf numFmtId="43" fontId="2" fillId="2" borderId="0" xfId="0" applyNumberFormat="1" applyFont="1" applyFill="1" applyAlignment="1" applyProtection="1">
      <alignment horizontal="right" vertical="top"/>
      <protection hidden="1"/>
    </xf>
    <xf numFmtId="0" fontId="2" fillId="2" borderId="0" xfId="0" applyFont="1" applyFill="1" applyBorder="1" applyAlignment="1" applyProtection="1">
      <alignment vertical="top"/>
      <protection hidden="1"/>
    </xf>
    <xf numFmtId="0" fontId="4" fillId="2" borderId="0" xfId="0" applyFont="1" applyFill="1" applyAlignment="1" applyProtection="1">
      <alignment horizontal="right" vertical="top"/>
      <protection hidden="1"/>
    </xf>
    <xf numFmtId="0" fontId="4" fillId="2" borderId="0" xfId="0" applyFont="1" applyFill="1" applyAlignment="1" applyProtection="1">
      <alignment vertical="top" wrapText="1"/>
      <protection hidden="1"/>
    </xf>
    <xf numFmtId="0" fontId="2" fillId="2" borderId="5" xfId="0" applyFont="1" applyFill="1" applyBorder="1" applyAlignment="1" applyProtection="1">
      <alignment horizontal="center"/>
      <protection hidden="1"/>
    </xf>
    <xf numFmtId="49" fontId="2" fillId="2" borderId="27" xfId="0" applyNumberFormat="1" applyFont="1" applyFill="1" applyBorder="1" applyAlignment="1" applyProtection="1">
      <alignment vertical="top" wrapText="1"/>
      <protection hidden="1"/>
    </xf>
    <xf numFmtId="0" fontId="4" fillId="2" borderId="5" xfId="0" applyFont="1" applyFill="1" applyBorder="1" applyAlignment="1" applyProtection="1">
      <alignment vertical="top"/>
      <protection hidden="1"/>
    </xf>
    <xf numFmtId="0" fontId="0" fillId="0" borderId="5" xfId="0" applyBorder="1" applyAlignment="1">
      <alignment vertical="top"/>
    </xf>
    <xf numFmtId="189" fontId="2" fillId="2" borderId="5" xfId="0" applyNumberFormat="1" applyFont="1" applyFill="1" applyBorder="1" applyAlignment="1" applyProtection="1">
      <alignment horizontal="center" vertical="top"/>
      <protection hidden="1"/>
    </xf>
    <xf numFmtId="44" fontId="2" fillId="2" borderId="0" xfId="0" applyNumberFormat="1" applyFont="1" applyFill="1" applyAlignment="1" applyProtection="1">
      <alignment horizontal="right" vertical="top"/>
      <protection hidden="1"/>
    </xf>
    <xf numFmtId="9" fontId="4" fillId="2" borderId="5" xfId="0" applyNumberFormat="1" applyFont="1" applyFill="1" applyBorder="1" applyAlignment="1" applyProtection="1">
      <alignment horizontal="center" vertical="top"/>
      <protection hidden="1"/>
    </xf>
    <xf numFmtId="0" fontId="4" fillId="2" borderId="5" xfId="0" applyFont="1" applyFill="1" applyBorder="1" applyAlignment="1" applyProtection="1">
      <alignment horizontal="left" vertical="top"/>
      <protection hidden="1"/>
    </xf>
    <xf numFmtId="0" fontId="2" fillId="2" borderId="45" xfId="0" applyFont="1" applyFill="1" applyBorder="1" applyAlignment="1" applyProtection="1">
      <alignment vertical="top" wrapText="1"/>
      <protection hidden="1"/>
    </xf>
    <xf numFmtId="0" fontId="2" fillId="0" borderId="45" xfId="0" applyFont="1" applyBorder="1" applyAlignment="1">
      <alignment vertical="top" wrapText="1"/>
    </xf>
    <xf numFmtId="0" fontId="2" fillId="2" borderId="0" xfId="0" applyNumberFormat="1" applyFont="1" applyFill="1" applyBorder="1" applyAlignment="1" applyProtection="1">
      <alignment vertical="top"/>
      <protection hidden="1"/>
    </xf>
    <xf numFmtId="0" fontId="1" fillId="2" borderId="0" xfId="0" applyNumberFormat="1" applyFont="1" applyFill="1" applyBorder="1" applyAlignment="1" applyProtection="1">
      <alignment vertical="top" wrapText="1"/>
      <protection hidden="1"/>
    </xf>
    <xf numFmtId="0" fontId="4" fillId="7" borderId="0" xfId="0" applyFont="1" applyFill="1" applyAlignment="1" applyProtection="1">
      <alignment horizontal="left" vertical="top" wrapText="1"/>
      <protection hidden="1"/>
    </xf>
    <xf numFmtId="0" fontId="0" fillId="7" borderId="0" xfId="0" applyFill="1" applyAlignment="1">
      <alignment horizontal="left" vertical="top" wrapText="1"/>
    </xf>
    <xf numFmtId="168" fontId="4" fillId="2" borderId="5" xfId="0" applyNumberFormat="1" applyFont="1" applyFill="1" applyBorder="1" applyAlignment="1" applyProtection="1">
      <alignment horizontal="left" vertical="top" wrapText="1"/>
      <protection hidden="1"/>
    </xf>
    <xf numFmtId="0" fontId="1" fillId="2" borderId="0" xfId="0" applyFont="1" applyFill="1" applyAlignment="1" applyProtection="1">
      <alignment vertical="top" wrapText="1"/>
      <protection hidden="1"/>
    </xf>
    <xf numFmtId="0" fontId="1" fillId="0" borderId="0" xfId="0" applyFont="1" applyAlignment="1">
      <alignment vertical="top" wrapText="1"/>
    </xf>
    <xf numFmtId="183" fontId="2" fillId="2" borderId="5" xfId="0" applyNumberFormat="1" applyFont="1" applyFill="1" applyBorder="1" applyAlignment="1" applyProtection="1">
      <alignment horizontal="center" vertical="top"/>
      <protection hidden="1"/>
    </xf>
    <xf numFmtId="0" fontId="1" fillId="2" borderId="0" xfId="0" applyFont="1" applyFill="1" applyAlignment="1" applyProtection="1">
      <alignment vertical="top"/>
      <protection hidden="1"/>
    </xf>
    <xf numFmtId="49" fontId="2" fillId="2" borderId="0" xfId="0" applyNumberFormat="1" applyFont="1" applyFill="1" applyAlignment="1" applyProtection="1">
      <alignment vertical="top" wrapText="1"/>
      <protection hidden="1"/>
    </xf>
    <xf numFmtId="0" fontId="2" fillId="7" borderId="0" xfId="0" applyFont="1" applyFill="1" applyAlignment="1" applyProtection="1">
      <alignment horizontal="left" vertical="top"/>
      <protection hidden="1"/>
    </xf>
    <xf numFmtId="183" fontId="2" fillId="7" borderId="5" xfId="0" applyNumberFormat="1" applyFont="1" applyFill="1" applyBorder="1" applyAlignment="1" applyProtection="1">
      <alignment horizontal="center" vertical="top"/>
      <protection hidden="1"/>
    </xf>
    <xf numFmtId="183" fontId="0" fillId="7" borderId="5" xfId="0" applyNumberFormat="1" applyFill="1" applyBorder="1" applyAlignment="1" applyProtection="1">
      <alignment vertical="top"/>
      <protection hidden="1"/>
    </xf>
    <xf numFmtId="168" fontId="1" fillId="7" borderId="0" xfId="0" applyNumberFormat="1" applyFont="1" applyFill="1" applyBorder="1" applyAlignment="1" applyProtection="1">
      <alignment horizontal="left" vertical="top"/>
      <protection hidden="1"/>
    </xf>
    <xf numFmtId="0" fontId="4" fillId="2" borderId="0" xfId="0" applyNumberFormat="1"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2" borderId="5" xfId="0" applyFont="1" applyFill="1" applyBorder="1" applyAlignment="1" applyProtection="1">
      <alignment vertical="top" wrapText="1"/>
      <protection hidden="1"/>
    </xf>
    <xf numFmtId="0" fontId="0" fillId="2" borderId="5" xfId="0" applyFill="1" applyBorder="1" applyAlignment="1" applyProtection="1">
      <alignment vertical="top" wrapText="1"/>
      <protection hidden="1"/>
    </xf>
    <xf numFmtId="0" fontId="4" fillId="2" borderId="29" xfId="0" applyFont="1" applyFill="1" applyBorder="1" applyAlignment="1" applyProtection="1">
      <alignment vertical="top"/>
      <protection hidden="1"/>
    </xf>
    <xf numFmtId="49" fontId="4" fillId="2" borderId="0" xfId="0" applyNumberFormat="1" applyFont="1" applyFill="1" applyAlignment="1" applyProtection="1">
      <alignment vertical="top"/>
      <protection hidden="1"/>
    </xf>
    <xf numFmtId="0" fontId="2" fillId="2" borderId="0" xfId="0" applyFont="1" applyFill="1" applyBorder="1" applyAlignment="1" applyProtection="1">
      <alignment horizontal="center" vertical="top"/>
      <protection hidden="1"/>
    </xf>
    <xf numFmtId="0" fontId="2" fillId="2" borderId="5" xfId="0" applyFont="1" applyFill="1" applyBorder="1" applyAlignment="1" applyProtection="1">
      <alignment horizontal="center" vertical="top"/>
      <protection hidden="1"/>
    </xf>
    <xf numFmtId="0" fontId="0" fillId="2" borderId="5" xfId="0" applyFill="1" applyBorder="1" applyAlignment="1" applyProtection="1">
      <alignment vertical="top"/>
      <protection hidden="1"/>
    </xf>
    <xf numFmtId="0" fontId="4" fillId="7" borderId="0" xfId="0" applyFont="1" applyFill="1" applyBorder="1" applyAlignment="1" applyProtection="1">
      <alignment horizontal="center"/>
      <protection hidden="1"/>
    </xf>
    <xf numFmtId="173" fontId="2" fillId="2" borderId="5" xfId="0" applyNumberFormat="1" applyFont="1" applyFill="1" applyBorder="1" applyAlignment="1" applyProtection="1">
      <alignment horizontal="left" vertical="top" wrapText="1"/>
      <protection hidden="1"/>
    </xf>
    <xf numFmtId="0" fontId="2" fillId="2" borderId="5" xfId="0" applyFont="1" applyFill="1" applyBorder="1" applyAlignment="1" applyProtection="1">
      <alignment vertical="top"/>
      <protection hidden="1"/>
    </xf>
    <xf numFmtId="0" fontId="4" fillId="2" borderId="0" xfId="0" applyFont="1" applyFill="1" applyBorder="1" applyAlignment="1" applyProtection="1">
      <alignment vertical="top" wrapText="1"/>
      <protection hidden="1"/>
    </xf>
    <xf numFmtId="0" fontId="0" fillId="2" borderId="0" xfId="0" applyFill="1" applyBorder="1" applyAlignment="1" applyProtection="1">
      <alignment vertical="top"/>
      <protection hidden="1"/>
    </xf>
    <xf numFmtId="49" fontId="2" fillId="2" borderId="0" xfId="0" applyNumberFormat="1" applyFont="1" applyFill="1" applyAlignment="1" applyProtection="1">
      <alignment vertical="top"/>
      <protection hidden="1"/>
    </xf>
    <xf numFmtId="0" fontId="1" fillId="2" borderId="0" xfId="0" applyNumberFormat="1" applyFont="1" applyFill="1" applyBorder="1" applyAlignment="1" applyProtection="1">
      <alignment horizontal="left" vertical="top"/>
      <protection hidden="1"/>
    </xf>
    <xf numFmtId="0" fontId="2"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top"/>
      <protection hidden="1"/>
    </xf>
    <xf numFmtId="0" fontId="4" fillId="2" borderId="0" xfId="0" applyFont="1" applyFill="1" applyAlignment="1" applyProtection="1">
      <alignment horizontal="left" vertical="top" wrapText="1"/>
      <protection hidden="1"/>
    </xf>
    <xf numFmtId="186" fontId="2" fillId="2" borderId="5" xfId="0" applyNumberFormat="1" applyFont="1" applyFill="1" applyBorder="1" applyAlignment="1" applyProtection="1">
      <alignment horizontal="center"/>
      <protection hidden="1"/>
    </xf>
    <xf numFmtId="173" fontId="2" fillId="7" borderId="5" xfId="0" applyNumberFormat="1" applyFont="1" applyFill="1" applyBorder="1" applyAlignment="1">
      <alignment horizontal="center"/>
    </xf>
    <xf numFmtId="0" fontId="1" fillId="7" borderId="0" xfId="0" applyFont="1" applyFill="1" applyAlignment="1"/>
    <xf numFmtId="183" fontId="2" fillId="7" borderId="5" xfId="0" applyNumberFormat="1" applyFont="1" applyFill="1" applyBorder="1" applyAlignment="1">
      <alignment horizontal="center"/>
    </xf>
    <xf numFmtId="183" fontId="0" fillId="0" borderId="5" xfId="0" applyNumberFormat="1" applyBorder="1" applyAlignment="1"/>
    <xf numFmtId="44" fontId="2" fillId="2" borderId="39" xfId="0" applyNumberFormat="1" applyFont="1" applyFill="1" applyBorder="1" applyAlignment="1" applyProtection="1">
      <alignment vertical="top"/>
      <protection hidden="1"/>
    </xf>
    <xf numFmtId="0" fontId="0" fillId="2" borderId="0" xfId="0" applyFill="1" applyAlignment="1" applyProtection="1">
      <alignment wrapText="1"/>
      <protection hidden="1"/>
    </xf>
    <xf numFmtId="183" fontId="2" fillId="0" borderId="5" xfId="0" applyNumberFormat="1" applyFont="1" applyBorder="1" applyAlignment="1">
      <alignment horizontal="center"/>
    </xf>
    <xf numFmtId="183" fontId="0" fillId="0" borderId="5" xfId="0" applyNumberFormat="1" applyBorder="1" applyAlignment="1">
      <alignment horizontal="center"/>
    </xf>
    <xf numFmtId="0" fontId="4" fillId="2" borderId="0" xfId="0" applyFont="1" applyFill="1" applyAlignment="1" applyProtection="1">
      <alignment horizontal="center" vertical="top"/>
      <protection hidden="1"/>
    </xf>
    <xf numFmtId="0" fontId="0" fillId="2" borderId="0" xfId="0" applyFill="1" applyAlignment="1" applyProtection="1">
      <alignment horizontal="center"/>
      <protection hidden="1"/>
    </xf>
    <xf numFmtId="189" fontId="2" fillId="2" borderId="5" xfId="2" applyNumberFormat="1" applyFont="1" applyFill="1" applyBorder="1" applyAlignment="1" applyProtection="1">
      <alignment horizontal="center" vertical="top"/>
      <protection hidden="1"/>
    </xf>
    <xf numFmtId="189" fontId="0" fillId="0" borderId="5" xfId="0" applyNumberFormat="1" applyBorder="1" applyAlignment="1">
      <alignment horizontal="center" vertical="top"/>
    </xf>
    <xf numFmtId="189" fontId="1" fillId="2" borderId="5" xfId="0" applyNumberFormat="1" applyFont="1" applyFill="1" applyBorder="1" applyAlignment="1" applyProtection="1">
      <alignment vertical="top"/>
      <protection hidden="1"/>
    </xf>
    <xf numFmtId="189" fontId="4" fillId="7" borderId="5" xfId="0" applyNumberFormat="1" applyFont="1" applyFill="1" applyBorder="1" applyAlignment="1" applyProtection="1">
      <alignment horizontal="center" vertical="top"/>
      <protection hidden="1"/>
    </xf>
    <xf numFmtId="0" fontId="0" fillId="2" borderId="1" xfId="0" applyFill="1" applyBorder="1" applyAlignment="1" applyProtection="1">
      <alignment vertical="top"/>
      <protection hidden="1"/>
    </xf>
    <xf numFmtId="168" fontId="2" fillId="2" borderId="5" xfId="0" applyNumberFormat="1" applyFont="1" applyFill="1" applyBorder="1" applyAlignment="1" applyProtection="1">
      <alignment horizontal="center" vertical="top" wrapText="1"/>
      <protection hidden="1"/>
    </xf>
    <xf numFmtId="0" fontId="0" fillId="2" borderId="5" xfId="0" applyFill="1" applyBorder="1" applyAlignment="1" applyProtection="1">
      <alignment horizontal="center" vertical="top" wrapText="1"/>
      <protection hidden="1"/>
    </xf>
    <xf numFmtId="0" fontId="5" fillId="2" borderId="0" xfId="0" applyFont="1" applyFill="1" applyBorder="1" applyAlignment="1" applyProtection="1">
      <alignment horizontal="left" wrapText="1"/>
      <protection hidden="1"/>
    </xf>
    <xf numFmtId="0" fontId="0" fillId="0" borderId="0" xfId="0" applyAlignment="1">
      <alignment horizontal="left" wrapText="1"/>
    </xf>
    <xf numFmtId="0" fontId="0" fillId="0" borderId="5" xfId="0" applyBorder="1" applyAlignment="1">
      <alignment horizontal="left" wrapText="1"/>
    </xf>
    <xf numFmtId="0" fontId="4" fillId="2" borderId="0" xfId="0" applyFont="1" applyFill="1" applyAlignment="1" applyProtection="1">
      <alignment vertical="center" wrapText="1"/>
      <protection hidden="1"/>
    </xf>
    <xf numFmtId="0" fontId="0" fillId="2" borderId="0" xfId="0" applyFill="1" applyAlignment="1" applyProtection="1">
      <alignment vertical="center" wrapText="1"/>
      <protection hidden="1"/>
    </xf>
    <xf numFmtId="186" fontId="2" fillId="2" borderId="5" xfId="2" applyNumberFormat="1" applyFont="1" applyFill="1" applyBorder="1" applyAlignment="1" applyProtection="1">
      <alignment horizontal="center" vertical="top"/>
      <protection hidden="1"/>
    </xf>
    <xf numFmtId="186" fontId="0" fillId="2" borderId="5" xfId="0" applyNumberFormat="1" applyFill="1" applyBorder="1" applyAlignment="1" applyProtection="1">
      <alignment vertical="top"/>
      <protection hidden="1"/>
    </xf>
    <xf numFmtId="0" fontId="20" fillId="2" borderId="0" xfId="0" applyFont="1" applyFill="1" applyAlignment="1" applyProtection="1">
      <alignment horizontal="right" wrapText="1"/>
      <protection hidden="1"/>
    </xf>
    <xf numFmtId="0" fontId="20" fillId="2" borderId="0" xfId="0" applyFont="1" applyFill="1" applyAlignment="1" applyProtection="1">
      <protection hidden="1"/>
    </xf>
    <xf numFmtId="0" fontId="3" fillId="2" borderId="0" xfId="0" applyFont="1" applyFill="1" applyBorder="1" applyAlignment="1" applyProtection="1">
      <alignment horizontal="center" wrapText="1"/>
      <protection hidden="1"/>
    </xf>
    <xf numFmtId="0" fontId="26" fillId="2" borderId="0" xfId="0" applyFont="1" applyFill="1" applyBorder="1" applyAlignment="1" applyProtection="1">
      <alignment horizontal="center" wrapText="1"/>
      <protection hidden="1"/>
    </xf>
    <xf numFmtId="0" fontId="26" fillId="2" borderId="5" xfId="0" applyFont="1" applyFill="1" applyBorder="1" applyAlignment="1" applyProtection="1">
      <alignment horizontal="center" wrapText="1"/>
      <protection hidden="1"/>
    </xf>
    <xf numFmtId="0" fontId="5" fillId="0" borderId="45" xfId="0" applyNumberFormat="1" applyFont="1" applyBorder="1" applyAlignment="1" applyProtection="1">
      <alignment horizontal="center" wrapText="1"/>
      <protection hidden="1"/>
    </xf>
    <xf numFmtId="0" fontId="2" fillId="0" borderId="45"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2" fillId="2" borderId="0" xfId="0" applyFont="1" applyFill="1" applyBorder="1" applyAlignment="1" applyProtection="1">
      <alignment vertical="top" wrapText="1"/>
      <protection hidden="1"/>
    </xf>
    <xf numFmtId="0" fontId="2" fillId="2" borderId="0" xfId="0" applyFont="1" applyFill="1" applyBorder="1" applyAlignment="1" applyProtection="1">
      <alignment horizontal="left" wrapText="1"/>
      <protection hidden="1"/>
    </xf>
    <xf numFmtId="0" fontId="1" fillId="0" borderId="0" xfId="0" applyFont="1" applyAlignment="1">
      <alignment wrapText="1"/>
    </xf>
    <xf numFmtId="0" fontId="8" fillId="2" borderId="45" xfId="0" applyFont="1" applyFill="1" applyBorder="1" applyAlignment="1" applyProtection="1">
      <alignment horizontal="left"/>
      <protection hidden="1"/>
    </xf>
    <xf numFmtId="0" fontId="8" fillId="2" borderId="45" xfId="0" applyFont="1" applyFill="1" applyBorder="1" applyAlignment="1" applyProtection="1">
      <alignment horizontal="right"/>
      <protection hidden="1"/>
    </xf>
    <xf numFmtId="0" fontId="8" fillId="2" borderId="5" xfId="0" applyFont="1" applyFill="1" applyBorder="1" applyAlignment="1" applyProtection="1">
      <alignment horizontal="right"/>
      <protection hidden="1"/>
    </xf>
    <xf numFmtId="0" fontId="20" fillId="2" borderId="0" xfId="0" applyFont="1" applyFill="1" applyAlignment="1" applyProtection="1">
      <alignment horizontal="right"/>
      <protection hidden="1"/>
    </xf>
    <xf numFmtId="49" fontId="35" fillId="2" borderId="0" xfId="0" applyNumberFormat="1" applyFont="1" applyFill="1" applyAlignment="1" applyProtection="1">
      <alignment horizontal="center" vertical="center" wrapText="1"/>
      <protection hidden="1"/>
    </xf>
    <xf numFmtId="0" fontId="35" fillId="0" borderId="0" xfId="0" applyFont="1" applyAlignment="1">
      <alignment horizontal="center" vertical="center" wrapText="1"/>
    </xf>
    <xf numFmtId="0" fontId="10" fillId="2" borderId="0" xfId="0" applyFont="1" applyFill="1" applyAlignment="1" applyProtection="1">
      <alignment horizontal="left" vertical="top" wrapText="1"/>
      <protection hidden="1"/>
    </xf>
    <xf numFmtId="0" fontId="0" fillId="0" borderId="0" xfId="0" applyAlignment="1">
      <alignment horizontal="left" vertical="top" wrapText="1"/>
    </xf>
    <xf numFmtId="0" fontId="0" fillId="2" borderId="0" xfId="0" applyFill="1" applyProtection="1">
      <protection hidden="1"/>
    </xf>
    <xf numFmtId="0" fontId="2" fillId="2" borderId="5" xfId="0" applyFont="1" applyFill="1" applyBorder="1" applyAlignment="1" applyProtection="1">
      <alignment vertical="top" wrapText="1"/>
      <protection hidden="1"/>
    </xf>
    <xf numFmtId="182" fontId="2" fillId="2" borderId="5" xfId="0" applyNumberFormat="1" applyFont="1" applyFill="1" applyBorder="1" applyAlignment="1" applyProtection="1">
      <alignment horizontal="left" vertical="top" wrapText="1"/>
      <protection hidden="1"/>
    </xf>
    <xf numFmtId="0" fontId="2" fillId="2" borderId="5" xfId="0" applyNumberFormat="1" applyFont="1" applyFill="1" applyBorder="1" applyAlignment="1" applyProtection="1">
      <alignment vertical="top"/>
      <protection hidden="1"/>
    </xf>
    <xf numFmtId="0" fontId="5" fillId="2" borderId="5" xfId="0" applyFont="1" applyFill="1" applyBorder="1" applyAlignment="1" applyProtection="1">
      <alignment wrapText="1"/>
      <protection hidden="1"/>
    </xf>
    <xf numFmtId="0" fontId="0" fillId="0" borderId="5" xfId="0" applyBorder="1" applyAlignment="1">
      <alignment wrapText="1"/>
    </xf>
    <xf numFmtId="0" fontId="10" fillId="2" borderId="0" xfId="0" applyFont="1" applyFill="1" applyBorder="1" applyAlignment="1" applyProtection="1">
      <alignment horizontal="center"/>
      <protection hidden="1"/>
    </xf>
    <xf numFmtId="0" fontId="10" fillId="0" borderId="0" xfId="0" applyFont="1" applyBorder="1" applyAlignment="1">
      <alignment horizontal="center"/>
    </xf>
    <xf numFmtId="0" fontId="10" fillId="2" borderId="0" xfId="0" applyFont="1" applyFill="1" applyAlignment="1" applyProtection="1">
      <alignment vertical="top" wrapText="1"/>
      <protection hidden="1"/>
    </xf>
    <xf numFmtId="0" fontId="3" fillId="2" borderId="0" xfId="0" applyFont="1" applyFill="1" applyAlignment="1" applyProtection="1">
      <alignment horizontal="center" vertical="center" wrapText="1"/>
      <protection hidden="1"/>
    </xf>
    <xf numFmtId="0" fontId="26" fillId="2" borderId="0" xfId="0" applyFont="1" applyFill="1" applyAlignment="1" applyProtection="1">
      <alignment wrapText="1"/>
      <protection hidden="1"/>
    </xf>
    <xf numFmtId="189" fontId="1" fillId="2" borderId="0" xfId="0" applyNumberFormat="1" applyFont="1" applyFill="1" applyBorder="1" applyAlignment="1" applyProtection="1">
      <alignment horizontal="left"/>
      <protection hidden="1"/>
    </xf>
    <xf numFmtId="0" fontId="0" fillId="2" borderId="0" xfId="0" applyFill="1" applyAlignment="1" applyProtection="1">
      <alignment horizontal="left" vertical="top"/>
      <protection hidden="1"/>
    </xf>
    <xf numFmtId="189" fontId="0" fillId="2" borderId="5" xfId="0" applyNumberFormat="1" applyFill="1" applyBorder="1" applyAlignment="1" applyProtection="1">
      <alignment horizontal="center"/>
      <protection hidden="1"/>
    </xf>
    <xf numFmtId="0" fontId="4" fillId="2" borderId="0" xfId="0" applyFont="1" applyFill="1" applyBorder="1" applyAlignment="1" applyProtection="1">
      <alignment horizontal="left" vertical="top"/>
      <protection hidden="1"/>
    </xf>
    <xf numFmtId="189" fontId="2" fillId="0" borderId="5" xfId="0" applyNumberFormat="1" applyFont="1" applyBorder="1" applyAlignment="1">
      <alignment horizontal="center" vertical="top"/>
    </xf>
    <xf numFmtId="173" fontId="2" fillId="0" borderId="5" xfId="0" applyNumberFormat="1" applyFont="1" applyBorder="1" applyAlignment="1">
      <alignment horizontal="center" vertical="top"/>
    </xf>
    <xf numFmtId="173" fontId="2" fillId="0" borderId="5" xfId="0" applyNumberFormat="1" applyFont="1" applyBorder="1" applyAlignment="1"/>
    <xf numFmtId="0" fontId="0" fillId="2" borderId="0" xfId="0" applyFill="1" applyAlignment="1" applyProtection="1">
      <alignment horizontal="center" vertical="top"/>
      <protection hidden="1"/>
    </xf>
    <xf numFmtId="0" fontId="0" fillId="0" borderId="0" xfId="0" applyAlignment="1">
      <alignment horizontal="center" vertical="top"/>
    </xf>
    <xf numFmtId="0" fontId="1" fillId="2" borderId="0" xfId="0" applyNumberFormat="1" applyFont="1" applyFill="1" applyAlignment="1" applyProtection="1">
      <alignment vertical="top" wrapText="1"/>
      <protection hidden="1"/>
    </xf>
    <xf numFmtId="0" fontId="2" fillId="2" borderId="5" xfId="0" applyFont="1" applyFill="1" applyBorder="1" applyAlignment="1" applyProtection="1">
      <alignment horizontal="center" vertical="top" wrapText="1"/>
      <protection hidden="1"/>
    </xf>
    <xf numFmtId="0" fontId="4" fillId="2" borderId="0" xfId="0" applyFont="1" applyFill="1" applyBorder="1" applyAlignment="1" applyProtection="1">
      <alignment horizontal="center" vertical="top"/>
      <protection hidden="1"/>
    </xf>
    <xf numFmtId="168" fontId="0" fillId="0" borderId="5" xfId="0" applyNumberFormat="1" applyBorder="1" applyAlignment="1">
      <alignment horizontal="center" vertical="top"/>
    </xf>
    <xf numFmtId="0" fontId="66" fillId="7" borderId="0" xfId="0" applyFont="1" applyFill="1" applyAlignment="1"/>
    <xf numFmtId="0" fontId="66" fillId="7" borderId="0" xfId="0" applyFont="1" applyFill="1" applyAlignment="1" applyProtection="1"/>
    <xf numFmtId="0" fontId="66" fillId="0" borderId="0" xfId="0" applyFont="1" applyAlignment="1"/>
    <xf numFmtId="0" fontId="68" fillId="7" borderId="5" xfId="0" applyFont="1" applyFill="1" applyBorder="1" applyAlignment="1" applyProtection="1">
      <alignment horizontal="center"/>
    </xf>
    <xf numFmtId="0" fontId="66" fillId="0" borderId="5" xfId="0" applyFont="1" applyBorder="1" applyAlignment="1"/>
    <xf numFmtId="0" fontId="68" fillId="7" borderId="5" xfId="0" applyFont="1" applyFill="1" applyBorder="1" applyAlignment="1">
      <alignment horizontal="center"/>
    </xf>
    <xf numFmtId="0" fontId="68" fillId="7" borderId="29" xfId="0" applyNumberFormat="1" applyFont="1" applyFill="1" applyBorder="1" applyAlignment="1">
      <alignment horizontal="center"/>
    </xf>
    <xf numFmtId="0" fontId="66" fillId="0" borderId="29" xfId="0" applyFont="1" applyBorder="1" applyAlignment="1"/>
    <xf numFmtId="0" fontId="66" fillId="7" borderId="67" xfId="0" applyFont="1" applyFill="1" applyBorder="1" applyAlignment="1"/>
    <xf numFmtId="0" fontId="66" fillId="0" borderId="67" xfId="0" applyFont="1" applyBorder="1" applyAlignment="1"/>
    <xf numFmtId="0" fontId="68" fillId="7" borderId="29" xfId="0" applyFont="1" applyFill="1" applyBorder="1" applyAlignment="1">
      <alignment horizontal="center"/>
    </xf>
    <xf numFmtId="0" fontId="68" fillId="0" borderId="29" xfId="0" applyFont="1" applyBorder="1" applyAlignment="1">
      <alignment horizontal="center"/>
    </xf>
    <xf numFmtId="0" fontId="52" fillId="7" borderId="0" xfId="0" applyFont="1" applyFill="1" applyAlignment="1">
      <alignment wrapText="1"/>
    </xf>
    <xf numFmtId="0" fontId="66" fillId="7" borderId="0" xfId="0" applyFont="1" applyFill="1" applyAlignment="1">
      <alignment wrapText="1"/>
    </xf>
    <xf numFmtId="0" fontId="68" fillId="7" borderId="29" xfId="0" applyFont="1" applyFill="1" applyBorder="1" applyAlignment="1">
      <alignment horizontal="center" wrapText="1"/>
    </xf>
    <xf numFmtId="0" fontId="0" fillId="0" borderId="29" xfId="0" applyBorder="1" applyAlignment="1">
      <alignment horizontal="center" wrapText="1"/>
    </xf>
    <xf numFmtId="0" fontId="68" fillId="7" borderId="5" xfId="0" applyFont="1" applyFill="1" applyBorder="1" applyAlignment="1">
      <alignment horizontal="left"/>
    </xf>
    <xf numFmtId="0" fontId="0" fillId="0" borderId="5" xfId="0" applyBorder="1" applyAlignment="1">
      <alignment horizontal="left"/>
    </xf>
    <xf numFmtId="178" fontId="68" fillId="7" borderId="5" xfId="0" applyNumberFormat="1" applyFont="1" applyFill="1" applyBorder="1" applyAlignment="1">
      <alignment horizontal="left"/>
    </xf>
    <xf numFmtId="0" fontId="1" fillId="0" borderId="5" xfId="0" applyFont="1" applyBorder="1" applyAlignment="1">
      <alignment horizontal="left"/>
    </xf>
    <xf numFmtId="0" fontId="70" fillId="7" borderId="32" xfId="0" applyFont="1" applyFill="1" applyBorder="1" applyAlignment="1">
      <alignment horizontal="center" vertical="center"/>
    </xf>
    <xf numFmtId="0" fontId="0" fillId="0" borderId="67"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168" fontId="68" fillId="7" borderId="5" xfId="0" applyNumberFormat="1" applyFont="1" applyFill="1" applyBorder="1" applyAlignment="1">
      <alignment horizontal="left"/>
    </xf>
    <xf numFmtId="0" fontId="68" fillId="7" borderId="5" xfId="0" applyFont="1" applyFill="1" applyBorder="1" applyAlignment="1"/>
    <xf numFmtId="0" fontId="68" fillId="7" borderId="0" xfId="0" applyFont="1" applyFill="1" applyBorder="1" applyAlignment="1">
      <alignment horizontal="center"/>
    </xf>
    <xf numFmtId="0" fontId="66" fillId="7" borderId="0" xfId="0" applyFont="1" applyFill="1" applyAlignment="1">
      <alignment horizontal="right"/>
    </xf>
    <xf numFmtId="0" fontId="66" fillId="0" borderId="0" xfId="0" applyFont="1" applyAlignment="1">
      <alignment horizontal="right"/>
    </xf>
    <xf numFmtId="0" fontId="71" fillId="7" borderId="0" xfId="3" applyFont="1" applyFill="1" applyAlignment="1" applyProtection="1">
      <alignment wrapText="1"/>
    </xf>
    <xf numFmtId="0" fontId="66" fillId="0" borderId="0" xfId="0" applyFont="1" applyAlignment="1">
      <alignment wrapText="1"/>
    </xf>
    <xf numFmtId="0" fontId="66" fillId="0" borderId="2" xfId="0" applyFont="1" applyBorder="1" applyAlignment="1">
      <alignment wrapText="1"/>
    </xf>
    <xf numFmtId="0" fontId="68" fillId="7" borderId="0" xfId="0" applyFont="1" applyFill="1" applyAlignment="1">
      <alignment vertical="top" wrapText="1"/>
    </xf>
    <xf numFmtId="0" fontId="66" fillId="7" borderId="0" xfId="0" applyFont="1" applyFill="1" applyAlignment="1">
      <alignment vertical="center"/>
    </xf>
    <xf numFmtId="0" fontId="68" fillId="7" borderId="5" xfId="0" applyFont="1" applyFill="1" applyBorder="1" applyAlignment="1">
      <alignment vertical="center"/>
    </xf>
    <xf numFmtId="0" fontId="66" fillId="7" borderId="5" xfId="0" applyFont="1" applyFill="1" applyBorder="1" applyAlignment="1"/>
    <xf numFmtId="0" fontId="68" fillId="7" borderId="67" xfId="0" applyFont="1" applyFill="1" applyBorder="1" applyAlignment="1">
      <alignment vertical="center"/>
    </xf>
    <xf numFmtId="0" fontId="66" fillId="7" borderId="67" xfId="0" applyFont="1" applyFill="1" applyBorder="1" applyAlignment="1">
      <alignment vertical="center"/>
    </xf>
    <xf numFmtId="0" fontId="65" fillId="7" borderId="0" xfId="0" applyFont="1" applyFill="1" applyAlignment="1">
      <alignment vertical="top" wrapText="1"/>
    </xf>
    <xf numFmtId="0" fontId="68" fillId="7" borderId="0" xfId="0" applyFont="1" applyFill="1" applyBorder="1" applyAlignment="1">
      <alignment vertical="top" wrapText="1"/>
    </xf>
    <xf numFmtId="0" fontId="68" fillId="7" borderId="45" xfId="0" applyFont="1" applyFill="1" applyBorder="1" applyAlignment="1">
      <alignment vertical="center" wrapText="1"/>
    </xf>
    <xf numFmtId="0" fontId="68" fillId="7" borderId="33" xfId="0" applyFont="1" applyFill="1" applyBorder="1" applyAlignment="1">
      <alignment vertical="center" wrapText="1"/>
    </xf>
    <xf numFmtId="0" fontId="66" fillId="7" borderId="2" xfId="0" applyFont="1" applyFill="1" applyBorder="1" applyAlignment="1"/>
    <xf numFmtId="0" fontId="66" fillId="7" borderId="0" xfId="0" applyFont="1" applyFill="1" applyBorder="1" applyAlignment="1"/>
    <xf numFmtId="0" fontId="68" fillId="7" borderId="0" xfId="0" applyFont="1" applyFill="1" applyAlignment="1">
      <alignment vertical="center" wrapText="1"/>
    </xf>
    <xf numFmtId="0" fontId="66" fillId="7" borderId="0" xfId="0" applyFont="1" applyFill="1" applyAlignment="1">
      <alignment vertical="center" wrapText="1"/>
    </xf>
    <xf numFmtId="0" fontId="68" fillId="7" borderId="0" xfId="0" applyFont="1" applyFill="1" applyAlignment="1">
      <alignment wrapText="1"/>
    </xf>
    <xf numFmtId="0" fontId="68" fillId="7" borderId="0" xfId="0" applyFont="1" applyFill="1" applyBorder="1" applyAlignment="1">
      <alignment horizontal="center" vertical="center"/>
    </xf>
    <xf numFmtId="0" fontId="66" fillId="7" borderId="0" xfId="0" applyFont="1" applyFill="1" applyAlignment="1">
      <alignment horizontal="center" wrapText="1"/>
    </xf>
    <xf numFmtId="0" fontId="66" fillId="0" borderId="0" xfId="0" applyFont="1" applyAlignment="1">
      <alignment vertical="center" wrapText="1"/>
    </xf>
    <xf numFmtId="0" fontId="68" fillId="7" borderId="29" xfId="0" applyNumberFormat="1" applyFont="1" applyFill="1" applyBorder="1" applyAlignment="1">
      <alignment horizontal="left"/>
    </xf>
    <xf numFmtId="0" fontId="66" fillId="7" borderId="45" xfId="0" applyFont="1" applyFill="1" applyBorder="1" applyAlignment="1"/>
    <xf numFmtId="0" fontId="66" fillId="7" borderId="29" xfId="0" applyFont="1" applyFill="1" applyBorder="1" applyAlignment="1"/>
    <xf numFmtId="0" fontId="66" fillId="7" borderId="5" xfId="0" applyFont="1" applyFill="1" applyBorder="1" applyAlignment="1">
      <alignment vertical="top" wrapText="1"/>
    </xf>
    <xf numFmtId="0" fontId="66" fillId="0" borderId="5" xfId="0" applyFont="1" applyBorder="1" applyAlignment="1">
      <alignment vertical="top" wrapText="1"/>
    </xf>
    <xf numFmtId="44" fontId="68" fillId="7" borderId="5" xfId="0" applyNumberFormat="1" applyFont="1" applyFill="1" applyBorder="1" applyAlignment="1">
      <alignment horizontal="center"/>
    </xf>
    <xf numFmtId="0" fontId="66" fillId="7" borderId="45" xfId="0" applyFont="1" applyFill="1" applyBorder="1" applyAlignment="1">
      <alignment horizontal="right"/>
    </xf>
    <xf numFmtId="0" fontId="66" fillId="7" borderId="0" xfId="0" applyFont="1" applyFill="1" applyBorder="1" applyAlignment="1">
      <alignment horizontal="right"/>
    </xf>
    <xf numFmtId="0" fontId="66" fillId="7" borderId="45" xfId="0" applyFont="1" applyFill="1" applyBorder="1" applyAlignment="1">
      <alignment vertical="center" wrapText="1"/>
    </xf>
    <xf numFmtId="0" fontId="68" fillId="7" borderId="0" xfId="0" applyFont="1" applyFill="1" applyAlignment="1"/>
    <xf numFmtId="44" fontId="68" fillId="7" borderId="5" xfId="0" applyNumberFormat="1" applyFont="1" applyFill="1" applyBorder="1" applyAlignment="1"/>
    <xf numFmtId="0" fontId="62" fillId="7" borderId="0" xfId="0" applyFont="1" applyFill="1" applyAlignment="1">
      <alignment horizontal="center" vertical="center"/>
    </xf>
    <xf numFmtId="0" fontId="13" fillId="7" borderId="0" xfId="0" applyFont="1" applyFill="1" applyAlignment="1">
      <alignment horizontal="center"/>
    </xf>
    <xf numFmtId="44" fontId="66" fillId="7" borderId="0" xfId="0" applyNumberFormat="1" applyFont="1" applyFill="1" applyBorder="1" applyAlignment="1"/>
    <xf numFmtId="0" fontId="66" fillId="7" borderId="45" xfId="0" applyFont="1" applyFill="1" applyBorder="1" applyAlignment="1">
      <alignment vertical="top"/>
    </xf>
    <xf numFmtId="0" fontId="68" fillId="7" borderId="29" xfId="0" applyFont="1" applyFill="1" applyBorder="1" applyAlignment="1"/>
    <xf numFmtId="0" fontId="73" fillId="7" borderId="0" xfId="0" applyFont="1" applyFill="1" applyAlignment="1"/>
    <xf numFmtId="0" fontId="52" fillId="7" borderId="0" xfId="0" applyFont="1" applyFill="1" applyAlignment="1"/>
    <xf numFmtId="168" fontId="64" fillId="7" borderId="5" xfId="0" applyNumberFormat="1" applyFont="1" applyFill="1" applyBorder="1" applyAlignment="1">
      <alignment horizontal="center" vertical="center"/>
    </xf>
    <xf numFmtId="168" fontId="65" fillId="7" borderId="5" xfId="0" applyNumberFormat="1" applyFont="1" applyFill="1" applyBorder="1" applyAlignment="1">
      <alignment vertical="center"/>
    </xf>
    <xf numFmtId="0" fontId="68" fillId="7" borderId="5" xfId="0" applyFont="1" applyFill="1" applyBorder="1" applyAlignment="1">
      <alignment vertical="center" wrapText="1"/>
    </xf>
    <xf numFmtId="0" fontId="66" fillId="7" borderId="5" xfId="0" applyFont="1" applyFill="1" applyBorder="1" applyAlignment="1">
      <alignment vertical="center" wrapText="1"/>
    </xf>
    <xf numFmtId="0" fontId="66" fillId="7" borderId="1" xfId="0" applyFont="1" applyFill="1" applyBorder="1" applyAlignment="1">
      <alignment wrapText="1"/>
    </xf>
    <xf numFmtId="0" fontId="53" fillId="7" borderId="0" xfId="0" applyFont="1" applyFill="1" applyBorder="1" applyAlignment="1">
      <alignment vertical="center"/>
    </xf>
    <xf numFmtId="1" fontId="64" fillId="7" borderId="5" xfId="0" applyNumberFormat="1" applyFont="1" applyFill="1" applyBorder="1" applyAlignment="1">
      <alignment horizontal="left"/>
    </xf>
    <xf numFmtId="0" fontId="65" fillId="0" borderId="5" xfId="0" applyFont="1" applyBorder="1" applyAlignment="1">
      <alignment horizontal="left"/>
    </xf>
    <xf numFmtId="0" fontId="65" fillId="7" borderId="0" xfId="0" applyFont="1" applyFill="1" applyAlignment="1"/>
    <xf numFmtId="0" fontId="65" fillId="0" borderId="0" xfId="0" applyFont="1" applyAlignment="1"/>
    <xf numFmtId="0" fontId="68" fillId="7" borderId="0" xfId="0" applyFont="1" applyFill="1" applyBorder="1" applyAlignment="1"/>
    <xf numFmtId="0" fontId="66" fillId="7" borderId="5" xfId="0" applyFont="1" applyFill="1" applyBorder="1" applyAlignment="1">
      <alignment vertical="center"/>
    </xf>
    <xf numFmtId="0" fontId="66" fillId="7" borderId="45" xfId="0" applyFont="1" applyFill="1" applyBorder="1" applyAlignment="1">
      <alignment vertical="center"/>
    </xf>
    <xf numFmtId="0" fontId="66" fillId="7" borderId="0" xfId="0" applyFont="1" applyFill="1" applyBorder="1" applyAlignment="1">
      <alignment vertical="center"/>
    </xf>
    <xf numFmtId="0" fontId="72" fillId="7" borderId="0" xfId="0" applyFont="1" applyFill="1" applyBorder="1" applyAlignment="1"/>
    <xf numFmtId="181" fontId="66" fillId="7" borderId="0" xfId="0" applyNumberFormat="1" applyFont="1" applyFill="1" applyBorder="1" applyAlignment="1">
      <alignment horizontal="left" vertical="center"/>
    </xf>
    <xf numFmtId="0" fontId="66" fillId="7" borderId="5" xfId="0" applyFont="1" applyFill="1" applyBorder="1" applyAlignment="1">
      <alignment vertical="top"/>
    </xf>
    <xf numFmtId="0" fontId="66" fillId="7" borderId="0" xfId="0" applyFont="1" applyFill="1" applyAlignment="1">
      <alignment vertical="top" wrapText="1"/>
    </xf>
    <xf numFmtId="0" fontId="66" fillId="7" borderId="57" xfId="0" applyFont="1" applyFill="1" applyBorder="1" applyAlignment="1"/>
    <xf numFmtId="0" fontId="72" fillId="7" borderId="0" xfId="0" applyFont="1" applyFill="1" applyAlignment="1">
      <alignment vertical="center" wrapText="1"/>
    </xf>
    <xf numFmtId="0" fontId="66" fillId="7" borderId="0" xfId="0" applyFont="1" applyFill="1" applyBorder="1" applyAlignment="1">
      <alignment wrapText="1"/>
    </xf>
    <xf numFmtId="0" fontId="68" fillId="7" borderId="29" xfId="0" applyFont="1" applyFill="1" applyBorder="1" applyAlignment="1">
      <alignment horizontal="left"/>
    </xf>
    <xf numFmtId="0" fontId="72" fillId="7" borderId="0" xfId="0" applyFont="1" applyFill="1" applyAlignment="1">
      <alignment vertical="top" wrapText="1"/>
    </xf>
    <xf numFmtId="0" fontId="66" fillId="0" borderId="0" xfId="0" applyFont="1" applyAlignment="1">
      <alignment vertical="top" wrapText="1"/>
    </xf>
    <xf numFmtId="0" fontId="52" fillId="7" borderId="0" xfId="0" applyFont="1" applyFill="1" applyAlignment="1">
      <alignment vertical="top" wrapText="1"/>
    </xf>
    <xf numFmtId="0" fontId="52" fillId="0" borderId="0" xfId="0" applyFont="1" applyAlignment="1">
      <alignment vertical="top" wrapText="1"/>
    </xf>
    <xf numFmtId="0" fontId="65" fillId="7" borderId="0" xfId="0" applyFont="1" applyFill="1" applyAlignment="1">
      <alignment horizontal="center" vertical="center" wrapText="1"/>
    </xf>
    <xf numFmtId="0" fontId="65" fillId="0" borderId="0" xfId="0" applyFont="1" applyAlignment="1">
      <alignment horizontal="center" vertical="center" wrapText="1"/>
    </xf>
    <xf numFmtId="188" fontId="65" fillId="7" borderId="0" xfId="0" applyNumberFormat="1" applyFont="1" applyFill="1" applyAlignment="1">
      <alignment vertical="top" wrapText="1"/>
    </xf>
    <xf numFmtId="188" fontId="65" fillId="0" borderId="0" xfId="0" applyNumberFormat="1" applyFont="1" applyAlignment="1">
      <alignment vertical="top" wrapText="1"/>
    </xf>
    <xf numFmtId="0" fontId="65" fillId="7" borderId="4" xfId="0" applyFont="1" applyFill="1" applyBorder="1" applyAlignment="1">
      <alignment vertical="center" wrapText="1"/>
    </xf>
    <xf numFmtId="0" fontId="65" fillId="0" borderId="5" xfId="0" applyFont="1" applyBorder="1" applyAlignment="1">
      <alignment vertical="center" wrapText="1"/>
    </xf>
    <xf numFmtId="0" fontId="65" fillId="0" borderId="1" xfId="0" applyFont="1" applyBorder="1" applyAlignment="1">
      <alignment vertical="center" wrapText="1"/>
    </xf>
    <xf numFmtId="0" fontId="64" fillId="7" borderId="0" xfId="0" applyFont="1" applyFill="1" applyAlignment="1"/>
    <xf numFmtId="0" fontId="69" fillId="7" borderId="0" xfId="0" applyFont="1" applyFill="1" applyAlignment="1">
      <alignment vertical="center"/>
    </xf>
    <xf numFmtId="0" fontId="0" fillId="0" borderId="0" xfId="0" applyAlignment="1">
      <alignment vertical="center"/>
    </xf>
    <xf numFmtId="170" fontId="64" fillId="7" borderId="5" xfId="0" applyNumberFormat="1" applyFont="1" applyFill="1" applyBorder="1" applyAlignment="1">
      <alignment horizontal="right"/>
    </xf>
    <xf numFmtId="0" fontId="65" fillId="0" borderId="5" xfId="0" applyFont="1" applyBorder="1" applyAlignment="1">
      <alignment horizontal="right"/>
    </xf>
    <xf numFmtId="0" fontId="75" fillId="7" borderId="32" xfId="0" applyFont="1" applyFill="1" applyBorder="1" applyAlignment="1">
      <alignment wrapText="1"/>
    </xf>
    <xf numFmtId="0" fontId="76" fillId="0" borderId="67" xfId="0" applyFont="1" applyBorder="1" applyAlignment="1">
      <alignment wrapText="1"/>
    </xf>
    <xf numFmtId="0" fontId="76" fillId="0" borderId="33" xfId="0" applyFont="1" applyBorder="1" applyAlignment="1">
      <alignment wrapText="1"/>
    </xf>
    <xf numFmtId="0" fontId="66" fillId="7" borderId="0" xfId="0" applyFont="1" applyFill="1" applyBorder="1" applyAlignment="1">
      <alignment vertical="center" wrapText="1"/>
    </xf>
    <xf numFmtId="0" fontId="1" fillId="7" borderId="0" xfId="0" applyFont="1" applyFill="1" applyAlignment="1" applyProtection="1">
      <alignment wrapText="1"/>
      <protection hidden="1"/>
    </xf>
    <xf numFmtId="43" fontId="0" fillId="2" borderId="5" xfId="2" applyNumberFormat="1" applyFont="1" applyFill="1" applyBorder="1" applyAlignment="1" applyProtection="1">
      <alignment wrapText="1"/>
      <protection hidden="1"/>
    </xf>
    <xf numFmtId="0" fontId="43" fillId="2" borderId="0" xfId="0" applyFont="1" applyFill="1" applyBorder="1" applyAlignment="1"/>
    <xf numFmtId="0" fontId="43" fillId="0" borderId="0" xfId="0" applyFont="1" applyAlignment="1"/>
    <xf numFmtId="0" fontId="8" fillId="2" borderId="27" xfId="0" applyFont="1" applyFill="1" applyBorder="1" applyAlignment="1" applyProtection="1">
      <alignment horizontal="left" vertical="top" wrapText="1"/>
      <protection hidden="1"/>
    </xf>
    <xf numFmtId="0" fontId="0" fillId="0" borderId="27" xfId="0" applyBorder="1" applyAlignment="1">
      <alignment wrapText="1"/>
    </xf>
    <xf numFmtId="0" fontId="8" fillId="2" borderId="29" xfId="0" applyFont="1" applyFill="1" applyBorder="1" applyAlignment="1" applyProtection="1">
      <alignment horizontal="right" wrapText="1"/>
      <protection hidden="1"/>
    </xf>
    <xf numFmtId="0" fontId="0" fillId="0" borderId="29" xfId="0" applyBorder="1" applyAlignment="1">
      <alignment wrapText="1"/>
    </xf>
    <xf numFmtId="0" fontId="0" fillId="2" borderId="5" xfId="0" applyFill="1" applyBorder="1" applyAlignment="1">
      <alignment horizontal="center"/>
    </xf>
    <xf numFmtId="181" fontId="0" fillId="2" borderId="0" xfId="0" applyNumberFormat="1" applyFill="1" applyAlignment="1">
      <alignment horizontal="left"/>
    </xf>
    <xf numFmtId="0" fontId="2" fillId="2" borderId="0" xfId="0" applyFont="1" applyFill="1" applyAlignment="1">
      <alignment horizontal="left"/>
    </xf>
    <xf numFmtId="0" fontId="2" fillId="2" borderId="0" xfId="0" applyFont="1" applyFill="1" applyAlignment="1" applyProtection="1">
      <alignment wrapText="1"/>
      <protection hidden="1"/>
    </xf>
    <xf numFmtId="0" fontId="2" fillId="2" borderId="0" xfId="0" applyFont="1" applyFill="1" applyAlignment="1">
      <alignment wrapText="1"/>
    </xf>
    <xf numFmtId="0" fontId="2" fillId="7" borderId="0" xfId="0" applyFont="1" applyFill="1" applyAlignment="1">
      <alignment horizontal="right"/>
    </xf>
    <xf numFmtId="0" fontId="5" fillId="7" borderId="5" xfId="0" applyFont="1" applyFill="1" applyBorder="1" applyAlignment="1" applyProtection="1">
      <alignment horizontal="left"/>
      <protection locked="0"/>
    </xf>
    <xf numFmtId="0" fontId="4" fillId="2" borderId="27" xfId="0" applyFont="1" applyFill="1" applyBorder="1" applyAlignment="1" applyProtection="1">
      <alignment wrapText="1"/>
      <protection hidden="1"/>
    </xf>
    <xf numFmtId="0" fontId="2" fillId="2" borderId="0" xfId="0" applyFont="1" applyFill="1" applyAlignment="1">
      <alignment horizontal="center"/>
    </xf>
    <xf numFmtId="0" fontId="27" fillId="2" borderId="0" xfId="3" applyFill="1" applyAlignment="1" applyProtection="1">
      <alignment horizontal="center"/>
    </xf>
    <xf numFmtId="0" fontId="0" fillId="0" borderId="0" xfId="0" applyFill="1" applyAlignment="1">
      <alignment horizontal="left"/>
    </xf>
    <xf numFmtId="44" fontId="2" fillId="2" borderId="31" xfId="2" applyFont="1" applyFill="1" applyBorder="1" applyAlignment="1" applyProtection="1">
      <alignment wrapText="1"/>
      <protection hidden="1"/>
    </xf>
    <xf numFmtId="0" fontId="0" fillId="0" borderId="31" xfId="0" applyBorder="1" applyAlignment="1">
      <alignment wrapText="1"/>
    </xf>
    <xf numFmtId="0" fontId="2" fillId="2" borderId="0" xfId="0" applyFont="1" applyFill="1" applyAlignment="1">
      <alignment vertical="top" wrapText="1"/>
    </xf>
    <xf numFmtId="0" fontId="1" fillId="2" borderId="0" xfId="0" applyFont="1" applyFill="1" applyAlignment="1">
      <alignment horizontal="left" vertical="top" wrapText="1"/>
    </xf>
    <xf numFmtId="0" fontId="0" fillId="2" borderId="0" xfId="0" applyFill="1" applyAlignment="1">
      <alignment horizontal="left" vertical="top" wrapText="1"/>
    </xf>
    <xf numFmtId="0" fontId="0" fillId="2" borderId="29" xfId="0" applyFill="1" applyBorder="1" applyAlignment="1">
      <alignment horizontal="left"/>
    </xf>
    <xf numFmtId="0" fontId="0" fillId="2" borderId="5" xfId="0" applyFill="1" applyBorder="1" applyAlignment="1">
      <alignment horizontal="left"/>
    </xf>
    <xf numFmtId="0" fontId="13" fillId="7" borderId="0" xfId="0" applyFont="1" applyFill="1" applyAlignment="1">
      <alignment horizontal="left"/>
    </xf>
    <xf numFmtId="0" fontId="0" fillId="2" borderId="0" xfId="0" applyFill="1" applyAlignment="1">
      <alignment vertical="top" wrapText="1"/>
    </xf>
    <xf numFmtId="0" fontId="5" fillId="7" borderId="5" xfId="0" applyFont="1" applyFill="1" applyBorder="1" applyAlignment="1" applyProtection="1">
      <protection locked="0"/>
    </xf>
    <xf numFmtId="0" fontId="1" fillId="7" borderId="0" xfId="0" applyFont="1" applyFill="1" applyAlignment="1">
      <alignment horizontal="right"/>
    </xf>
    <xf numFmtId="181" fontId="5" fillId="7" borderId="5" xfId="0" applyNumberFormat="1" applyFont="1" applyFill="1" applyBorder="1" applyAlignment="1" applyProtection="1">
      <alignment horizontal="left"/>
      <protection locked="0"/>
    </xf>
    <xf numFmtId="181" fontId="5" fillId="7" borderId="5" xfId="0" applyNumberFormat="1" applyFont="1" applyFill="1" applyBorder="1" applyAlignment="1" applyProtection="1">
      <protection locked="0"/>
    </xf>
    <xf numFmtId="0" fontId="8" fillId="2" borderId="29" xfId="0" applyFont="1" applyFill="1" applyBorder="1" applyAlignment="1" applyProtection="1">
      <alignment horizontal="left" vertical="top" wrapText="1"/>
      <protection hidden="1"/>
    </xf>
    <xf numFmtId="0" fontId="0" fillId="0" borderId="29" xfId="0" applyBorder="1" applyAlignment="1">
      <alignment horizontal="left" vertical="top" wrapText="1"/>
    </xf>
    <xf numFmtId="178" fontId="2" fillId="0" borderId="0" xfId="0" applyNumberFormat="1" applyFont="1" applyFill="1" applyAlignment="1">
      <alignment horizontal="left"/>
    </xf>
    <xf numFmtId="0" fontId="45" fillId="2" borderId="0" xfId="0" applyFont="1" applyFill="1" applyAlignment="1" applyProtection="1">
      <alignment vertical="center" wrapText="1"/>
      <protection hidden="1"/>
    </xf>
    <xf numFmtId="170" fontId="43" fillId="2" borderId="0" xfId="0" applyNumberFormat="1" applyFont="1" applyFill="1" applyAlignment="1" applyProtection="1">
      <alignment vertical="top" wrapText="1"/>
      <protection locked="0"/>
    </xf>
    <xf numFmtId="170" fontId="43" fillId="0" borderId="0" xfId="0" applyNumberFormat="1" applyFont="1" applyAlignment="1" applyProtection="1">
      <alignment wrapText="1"/>
      <protection locked="0"/>
    </xf>
    <xf numFmtId="0" fontId="0" fillId="2" borderId="0" xfId="0" applyFill="1" applyBorder="1" applyAlignment="1">
      <alignment horizontal="left" wrapText="1"/>
    </xf>
    <xf numFmtId="170" fontId="2" fillId="2" borderId="5" xfId="0" applyNumberFormat="1" applyFont="1" applyFill="1" applyBorder="1" applyAlignment="1" applyProtection="1">
      <alignment horizontal="right" wrapText="1"/>
      <protection hidden="1"/>
    </xf>
    <xf numFmtId="170" fontId="0" fillId="0" borderId="5" xfId="0" applyNumberFormat="1" applyBorder="1" applyAlignment="1">
      <alignment wrapText="1"/>
    </xf>
    <xf numFmtId="0" fontId="1" fillId="2" borderId="0" xfId="0" applyFont="1" applyFill="1" applyAlignment="1" applyProtection="1">
      <alignment wrapText="1"/>
      <protection hidden="1"/>
    </xf>
    <xf numFmtId="0" fontId="0" fillId="2" borderId="0" xfId="0" applyFill="1" applyAlignment="1">
      <alignment wrapText="1"/>
    </xf>
    <xf numFmtId="0" fontId="2" fillId="0" borderId="0" xfId="0" applyFont="1" applyFill="1" applyAlignment="1">
      <alignment horizontal="left"/>
    </xf>
    <xf numFmtId="178" fontId="20" fillId="2" borderId="5" xfId="0" applyNumberFormat="1" applyFont="1" applyFill="1" applyBorder="1" applyAlignment="1" applyProtection="1">
      <alignment horizontal="center"/>
      <protection hidden="1"/>
    </xf>
    <xf numFmtId="49" fontId="4" fillId="2" borderId="0" xfId="0" applyNumberFormat="1" applyFont="1" applyFill="1" applyAlignment="1" applyProtection="1">
      <alignment horizontal="right"/>
      <protection hidden="1"/>
    </xf>
    <xf numFmtId="0" fontId="26" fillId="2" borderId="5" xfId="0" applyFont="1" applyFill="1" applyBorder="1" applyAlignment="1">
      <alignment horizontal="center" wrapText="1"/>
    </xf>
    <xf numFmtId="0" fontId="0" fillId="0" borderId="0" xfId="0"/>
    <xf numFmtId="0" fontId="20" fillId="0" borderId="0" xfId="0" applyFont="1" applyAlignment="1">
      <alignment wrapText="1"/>
    </xf>
    <xf numFmtId="0" fontId="5" fillId="2" borderId="5" xfId="0" applyFont="1" applyFill="1" applyBorder="1" applyAlignment="1" applyProtection="1">
      <alignment horizontal="left" wrapText="1"/>
      <protection hidden="1"/>
    </xf>
    <xf numFmtId="0" fontId="8" fillId="2" borderId="27" xfId="0" applyFont="1" applyFill="1" applyBorder="1" applyAlignment="1" applyProtection="1">
      <alignment horizontal="right" wrapText="1"/>
      <protection hidden="1"/>
    </xf>
    <xf numFmtId="0" fontId="4" fillId="0" borderId="0" xfId="0" applyFont="1" applyAlignment="1" applyProtection="1">
      <protection hidden="1"/>
    </xf>
    <xf numFmtId="0" fontId="5" fillId="7" borderId="0" xfId="0" applyNumberFormat="1" applyFont="1" applyFill="1" applyBorder="1" applyAlignment="1" applyProtection="1">
      <alignment horizontal="center" wrapText="1"/>
      <protection hidden="1"/>
    </xf>
    <xf numFmtId="0" fontId="5" fillId="7" borderId="5" xfId="0" applyFont="1" applyFill="1" applyBorder="1" applyAlignment="1">
      <alignment horizontal="center" wrapText="1"/>
    </xf>
    <xf numFmtId="0" fontId="0" fillId="0" borderId="0" xfId="0" applyBorder="1" applyAlignment="1">
      <alignment horizontal="left" wrapText="1"/>
    </xf>
    <xf numFmtId="0" fontId="0" fillId="2" borderId="5" xfId="0" applyFill="1" applyBorder="1" applyAlignment="1">
      <alignment horizontal="left" wrapText="1"/>
    </xf>
    <xf numFmtId="0" fontId="5" fillId="2" borderId="0" xfId="0" applyFont="1" applyFill="1" applyAlignment="1" applyProtection="1">
      <alignment horizontal="left" vertical="center" wrapText="1"/>
      <protection hidden="1"/>
    </xf>
    <xf numFmtId="0" fontId="0" fillId="2" borderId="0" xfId="0" applyFill="1" applyAlignment="1" applyProtection="1">
      <alignment horizontal="left" wrapText="1"/>
      <protection hidden="1"/>
    </xf>
    <xf numFmtId="44" fontId="0" fillId="2" borderId="5" xfId="2" applyFont="1" applyFill="1" applyBorder="1" applyAlignment="1" applyProtection="1">
      <alignment wrapText="1"/>
      <protection hidden="1"/>
    </xf>
    <xf numFmtId="0" fontId="1"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20" fillId="2" borderId="5" xfId="0" applyFont="1" applyFill="1" applyBorder="1" applyAlignment="1" applyProtection="1">
      <alignment horizontal="left"/>
      <protection hidden="1"/>
    </xf>
    <xf numFmtId="49" fontId="20" fillId="2" borderId="0" xfId="0" applyNumberFormat="1" applyFont="1" applyFill="1" applyAlignment="1" applyProtection="1">
      <alignment horizontal="left" wrapText="1"/>
      <protection hidden="1"/>
    </xf>
    <xf numFmtId="0" fontId="20" fillId="2" borderId="0" xfId="0" applyFont="1" applyFill="1" applyAlignment="1" applyProtection="1">
      <alignment horizontal="left" wrapText="1"/>
      <protection hidden="1"/>
    </xf>
    <xf numFmtId="43" fontId="0" fillId="2" borderId="29" xfId="2" applyNumberFormat="1" applyFont="1" applyFill="1" applyBorder="1" applyAlignment="1" applyProtection="1">
      <alignment wrapText="1"/>
      <protection hidden="1"/>
    </xf>
    <xf numFmtId="168" fontId="4" fillId="2" borderId="5" xfId="0" applyNumberFormat="1" applyFont="1" applyFill="1" applyBorder="1" applyAlignment="1" applyProtection="1">
      <alignment horizontal="left" wrapText="1"/>
      <protection hidden="1"/>
    </xf>
    <xf numFmtId="0" fontId="0" fillId="2" borderId="5" xfId="0" applyFill="1" applyBorder="1" applyAlignment="1">
      <alignment wrapText="1"/>
    </xf>
    <xf numFmtId="0" fontId="0" fillId="0" borderId="30" xfId="0" applyBorder="1" applyAlignment="1" applyProtection="1">
      <alignment horizontal="left" wrapText="1"/>
    </xf>
    <xf numFmtId="0" fontId="0" fillId="0" borderId="29" xfId="0" applyBorder="1" applyAlignment="1">
      <alignment horizontal="left"/>
    </xf>
    <xf numFmtId="0" fontId="0" fillId="0" borderId="28" xfId="0" applyBorder="1" applyAlignment="1">
      <alignment horizontal="left"/>
    </xf>
    <xf numFmtId="0" fontId="0" fillId="2" borderId="32" xfId="0" applyNumberFormat="1" applyFill="1" applyBorder="1" applyAlignment="1" applyProtection="1">
      <alignment horizontal="left" vertical="center"/>
      <protection hidden="1"/>
    </xf>
    <xf numFmtId="0" fontId="0" fillId="0" borderId="33" xfId="0" applyBorder="1" applyAlignment="1">
      <alignment horizontal="left"/>
    </xf>
    <xf numFmtId="0" fontId="0" fillId="2" borderId="30" xfId="0" applyNumberFormat="1" applyFill="1" applyBorder="1" applyAlignment="1" applyProtection="1">
      <alignment horizontal="left" vertical="center"/>
      <protection hidden="1"/>
    </xf>
    <xf numFmtId="0" fontId="0" fillId="0" borderId="30" xfId="0" applyBorder="1" applyAlignment="1" applyProtection="1">
      <alignment horizontal="center" wrapText="1"/>
    </xf>
    <xf numFmtId="0" fontId="0" fillId="0" borderId="29" xfId="0" applyBorder="1" applyAlignment="1">
      <alignment horizontal="center"/>
    </xf>
    <xf numFmtId="0" fontId="2" fillId="0" borderId="5" xfId="0" applyFont="1" applyBorder="1" applyAlignment="1">
      <alignment horizontal="center" vertical="center" wrapText="1"/>
    </xf>
    <xf numFmtId="0" fontId="0" fillId="3" borderId="26" xfId="0" applyFill="1" applyBorder="1" applyAlignment="1">
      <alignment wrapText="1"/>
    </xf>
    <xf numFmtId="0" fontId="0" fillId="3" borderId="26" xfId="0" applyFill="1" applyBorder="1" applyAlignment="1"/>
    <xf numFmtId="0" fontId="0" fillId="3" borderId="30" xfId="0" applyFill="1" applyBorder="1" applyAlignment="1"/>
    <xf numFmtId="166" fontId="2" fillId="3" borderId="2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0" fillId="3" borderId="26" xfId="0" applyFill="1" applyBorder="1" applyAlignment="1">
      <alignment horizontal="left" vertical="center" wrapText="1"/>
    </xf>
    <xf numFmtId="0" fontId="0" fillId="3" borderId="26" xfId="0" applyFill="1" applyBorder="1" applyAlignment="1">
      <alignment horizontal="left" vertical="center"/>
    </xf>
    <xf numFmtId="166" fontId="2" fillId="3" borderId="26" xfId="6" applyNumberFormat="1" applyFont="1" applyFill="1" applyBorder="1" applyAlignment="1" applyProtection="1">
      <alignment horizontal="center" vertical="center"/>
      <protection hidden="1"/>
    </xf>
    <xf numFmtId="1" fontId="2" fillId="3" borderId="26" xfId="0" applyNumberFormat="1" applyFont="1" applyFill="1" applyBorder="1" applyAlignment="1">
      <alignment horizontal="center" vertical="center"/>
    </xf>
    <xf numFmtId="10" fontId="15" fillId="3" borderId="26"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0" fillId="0" borderId="27" xfId="0" applyBorder="1" applyAlignment="1" applyProtection="1">
      <alignment horizontal="center" wrapText="1"/>
      <protection hidden="1"/>
    </xf>
    <xf numFmtId="0" fontId="0" fillId="0" borderId="33"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0" fillId="0" borderId="5" xfId="0"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4" xfId="0" applyBorder="1" applyAlignment="1" applyProtection="1">
      <alignment vertical="center" wrapText="1"/>
      <protection hidden="1"/>
    </xf>
    <xf numFmtId="0" fontId="0" fillId="0" borderId="30" xfId="0" applyNumberFormat="1" applyFill="1" applyBorder="1" applyAlignment="1" applyProtection="1">
      <alignment horizontal="center" vertical="center"/>
      <protection hidden="1"/>
    </xf>
    <xf numFmtId="0" fontId="0" fillId="0" borderId="29" xfId="0" applyNumberFormat="1" applyFill="1" applyBorder="1" applyAlignment="1" applyProtection="1">
      <alignment horizontal="center" vertical="center"/>
      <protection hidden="1"/>
    </xf>
    <xf numFmtId="0" fontId="0" fillId="0" borderId="28" xfId="0" applyNumberFormat="1" applyFill="1" applyBorder="1" applyAlignment="1" applyProtection="1">
      <alignment horizontal="center" vertical="center"/>
      <protection hidden="1"/>
    </xf>
    <xf numFmtId="0" fontId="0" fillId="0" borderId="29" xfId="0" applyBorder="1" applyAlignment="1" applyProtection="1">
      <alignment vertical="top" wrapText="1"/>
      <protection hidden="1"/>
    </xf>
    <xf numFmtId="0" fontId="0" fillId="0" borderId="28" xfId="0" applyBorder="1" applyAlignment="1" applyProtection="1">
      <alignment vertical="top" wrapText="1"/>
      <protection hidden="1"/>
    </xf>
    <xf numFmtId="0" fontId="2" fillId="0" borderId="22" xfId="0" applyFont="1" applyBorder="1" applyAlignment="1" applyProtection="1">
      <alignment horizontal="center" wrapText="1"/>
      <protection hidden="1"/>
    </xf>
    <xf numFmtId="0" fontId="2" fillId="0" borderId="15" xfId="0" applyFont="1" applyBorder="1" applyAlignment="1" applyProtection="1">
      <alignment horizontal="center" wrapText="1"/>
      <protection hidden="1"/>
    </xf>
    <xf numFmtId="166" fontId="19" fillId="2" borderId="27" xfId="0" applyNumberFormat="1" applyFont="1" applyFill="1" applyBorder="1" applyAlignment="1">
      <alignment horizontal="center" vertical="center"/>
    </xf>
    <xf numFmtId="0" fontId="4" fillId="0" borderId="10" xfId="0" applyFont="1" applyBorder="1" applyAlignment="1" applyProtection="1">
      <alignment horizontal="left"/>
      <protection hidden="1"/>
    </xf>
    <xf numFmtId="0" fontId="0" fillId="0" borderId="21" xfId="0" applyBorder="1" applyAlignment="1">
      <alignment horizontal="left"/>
    </xf>
    <xf numFmtId="0" fontId="0" fillId="0" borderId="21" xfId="0" applyBorder="1" applyAlignment="1"/>
    <xf numFmtId="0" fontId="0" fillId="0" borderId="18" xfId="0" applyBorder="1" applyAlignment="1"/>
    <xf numFmtId="0" fontId="5" fillId="0" borderId="19" xfId="0" applyFont="1" applyBorder="1" applyAlignment="1" applyProtection="1">
      <alignment horizontal="center"/>
      <protection hidden="1"/>
    </xf>
    <xf numFmtId="0" fontId="0" fillId="0" borderId="23" xfId="0" applyBorder="1" applyAlignment="1">
      <alignment horizontal="center"/>
    </xf>
    <xf numFmtId="0" fontId="0" fillId="0" borderId="20" xfId="0" applyBorder="1" applyAlignment="1">
      <alignment horizontal="center"/>
    </xf>
    <xf numFmtId="0" fontId="2" fillId="0" borderId="12" xfId="0" applyFont="1" applyBorder="1" applyAlignment="1" applyProtection="1">
      <alignment horizontal="center"/>
      <protection hidden="1"/>
    </xf>
    <xf numFmtId="0" fontId="0" fillId="0" borderId="40" xfId="0" applyBorder="1" applyAlignment="1"/>
    <xf numFmtId="0" fontId="0" fillId="0" borderId="41" xfId="0" applyBorder="1" applyAlignment="1"/>
    <xf numFmtId="0" fontId="0" fillId="0" borderId="6" xfId="0" applyBorder="1" applyAlignment="1"/>
    <xf numFmtId="0" fontId="0" fillId="0" borderId="25" xfId="0" applyBorder="1" applyAlignment="1"/>
    <xf numFmtId="0" fontId="4" fillId="0" borderId="8" xfId="0" applyFont="1" applyBorder="1" applyAlignment="1" applyProtection="1">
      <alignment horizontal="left"/>
      <protection hidden="1"/>
    </xf>
    <xf numFmtId="0" fontId="0" fillId="0" borderId="42" xfId="0" applyBorder="1" applyAlignment="1"/>
    <xf numFmtId="0" fontId="2" fillId="0" borderId="6" xfId="0" applyFont="1" applyBorder="1" applyAlignment="1" applyProtection="1">
      <alignment horizontal="center"/>
      <protection hidden="1"/>
    </xf>
    <xf numFmtId="0" fontId="2" fillId="0" borderId="25" xfId="0" applyFont="1" applyBorder="1" applyAlignment="1" applyProtection="1">
      <alignment horizontal="center"/>
      <protection hidden="1"/>
    </xf>
    <xf numFmtId="14" fontId="2" fillId="0" borderId="12" xfId="0" applyNumberFormat="1" applyFont="1" applyBorder="1" applyAlignment="1" applyProtection="1">
      <alignment horizontal="center" vertical="center"/>
      <protection hidden="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pplyProtection="1">
      <alignment horizontal="left"/>
      <protection hidden="1"/>
    </xf>
    <xf numFmtId="0" fontId="2" fillId="0" borderId="21" xfId="0" applyFont="1" applyBorder="1" applyAlignment="1" applyProtection="1">
      <alignment horizontal="left"/>
      <protection hidden="1"/>
    </xf>
    <xf numFmtId="0" fontId="0" fillId="0" borderId="13"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43" xfId="0" applyBorder="1" applyAlignment="1" applyProtection="1">
      <alignment horizontal="center"/>
      <protection hidden="1"/>
    </xf>
    <xf numFmtId="0" fontId="0" fillId="0" borderId="40" xfId="0" applyBorder="1" applyAlignment="1">
      <alignment horizontal="center"/>
    </xf>
    <xf numFmtId="0" fontId="0" fillId="0" borderId="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15" xfId="0" applyBorder="1" applyAlignment="1" applyProtection="1">
      <alignment horizontal="center"/>
      <protection hidden="1"/>
    </xf>
    <xf numFmtId="168" fontId="2" fillId="0" borderId="21" xfId="0" applyNumberFormat="1" applyFont="1" applyBorder="1" applyAlignment="1" applyProtection="1">
      <alignment horizontal="left"/>
      <protection hidden="1"/>
    </xf>
    <xf numFmtId="0" fontId="0" fillId="0" borderId="18" xfId="0" applyBorder="1" applyAlignment="1">
      <alignment horizontal="left"/>
    </xf>
    <xf numFmtId="0" fontId="0" fillId="0" borderId="32" xfId="0" applyBorder="1" applyAlignment="1" applyProtection="1">
      <alignment horizontal="center"/>
      <protection hidden="1"/>
    </xf>
    <xf numFmtId="0" fontId="0" fillId="0" borderId="27" xfId="0" applyBorder="1" applyAlignment="1">
      <alignment horizontal="center"/>
    </xf>
    <xf numFmtId="0" fontId="2" fillId="0" borderId="19" xfId="0" applyFont="1" applyBorder="1" applyAlignment="1" applyProtection="1">
      <alignment horizontal="left"/>
      <protection hidden="1"/>
    </xf>
    <xf numFmtId="0" fontId="2" fillId="0" borderId="23" xfId="0" applyFont="1" applyBorder="1" applyAlignment="1" applyProtection="1">
      <alignment horizontal="left"/>
      <protection hidden="1"/>
    </xf>
    <xf numFmtId="0" fontId="2" fillId="0" borderId="23" xfId="0" applyFont="1" applyBorder="1" applyAlignment="1">
      <alignment horizontal="left"/>
    </xf>
    <xf numFmtId="0" fontId="0" fillId="0" borderId="17" xfId="0" applyBorder="1" applyAlignment="1" applyProtection="1">
      <alignment horizontal="center"/>
      <protection hidden="1"/>
    </xf>
    <xf numFmtId="0" fontId="0" fillId="0" borderId="2" xfId="0" applyBorder="1" applyAlignment="1" applyProtection="1">
      <alignment horizontal="center" wrapText="1"/>
      <protection hidden="1"/>
    </xf>
    <xf numFmtId="0" fontId="0" fillId="0" borderId="42" xfId="0" applyBorder="1" applyAlignment="1" applyProtection="1">
      <alignment horizontal="center" wrapText="1"/>
      <protection hidden="1"/>
    </xf>
    <xf numFmtId="0" fontId="0" fillId="0" borderId="44" xfId="0" applyBorder="1" applyAlignment="1" applyProtection="1">
      <alignment horizontal="center"/>
      <protection hidden="1"/>
    </xf>
    <xf numFmtId="0" fontId="0" fillId="0" borderId="18" xfId="0"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41" xfId="0" applyBorder="1" applyAlignment="1" applyProtection="1">
      <alignment horizontal="center"/>
      <protection hidden="1"/>
    </xf>
    <xf numFmtId="0" fontId="0" fillId="0" borderId="15" xfId="0" applyBorder="1" applyAlignment="1">
      <alignment horizontal="center"/>
    </xf>
    <xf numFmtId="0" fontId="2" fillId="0" borderId="15" xfId="0" applyFont="1" applyBorder="1" applyAlignment="1" applyProtection="1">
      <alignment horizontal="center"/>
      <protection hidden="1"/>
    </xf>
    <xf numFmtId="0" fontId="2" fillId="0" borderId="15" xfId="0" applyFont="1" applyBorder="1" applyAlignment="1">
      <alignment horizontal="center"/>
    </xf>
    <xf numFmtId="1" fontId="39" fillId="0" borderId="8" xfId="5" applyNumberFormat="1" applyFont="1" applyBorder="1" applyAlignment="1">
      <alignment horizontal="center"/>
    </xf>
    <xf numFmtId="1" fontId="38" fillId="0" borderId="0" xfId="4" applyNumberFormat="1"/>
    <xf numFmtId="1" fontId="38" fillId="0" borderId="42" xfId="4" applyNumberFormat="1" applyBorder="1"/>
    <xf numFmtId="1" fontId="40" fillId="0" borderId="10" xfId="5" applyNumberFormat="1" applyFont="1" applyBorder="1" applyAlignment="1">
      <alignment horizontal="center" vertical="center" wrapText="1"/>
    </xf>
    <xf numFmtId="1" fontId="38" fillId="0" borderId="21" xfId="4" applyNumberFormat="1" applyBorder="1"/>
    <xf numFmtId="1" fontId="38" fillId="0" borderId="18" xfId="4" applyNumberFormat="1" applyBorder="1"/>
    <xf numFmtId="0" fontId="42" fillId="0" borderId="10" xfId="5" applyFont="1" applyBorder="1" applyAlignment="1">
      <alignment horizontal="center" wrapText="1"/>
    </xf>
    <xf numFmtId="184" fontId="60" fillId="0" borderId="21" xfId="4" applyFont="1" applyBorder="1" applyAlignment="1">
      <alignment horizontal="center" wrapText="1"/>
    </xf>
    <xf numFmtId="184" fontId="60" fillId="0" borderId="18" xfId="4" applyFont="1" applyBorder="1" applyAlignment="1">
      <alignment horizontal="center" wrapText="1"/>
    </xf>
    <xf numFmtId="165" fontId="5" fillId="0" borderId="30" xfId="0" applyNumberFormat="1" applyFont="1" applyBorder="1" applyAlignment="1">
      <alignment horizontal="center" vertical="center" wrapText="1"/>
    </xf>
    <xf numFmtId="165" fontId="4" fillId="0" borderId="29"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2" fillId="7" borderId="0" xfId="0" applyFont="1" applyFill="1" applyBorder="1" applyAlignment="1"/>
    <xf numFmtId="0" fontId="1" fillId="7" borderId="2" xfId="0" applyFont="1" applyFill="1" applyBorder="1" applyAlignment="1"/>
    <xf numFmtId="0" fontId="0" fillId="7" borderId="64" xfId="0" applyFill="1" applyBorder="1" applyAlignment="1"/>
    <xf numFmtId="0" fontId="30" fillId="7" borderId="0" xfId="0" applyFont="1" applyFill="1" applyAlignment="1" applyProtection="1">
      <protection hidden="1"/>
    </xf>
    <xf numFmtId="0" fontId="30" fillId="7" borderId="3" xfId="0" applyFont="1" applyFill="1" applyBorder="1" applyAlignment="1"/>
    <xf numFmtId="0" fontId="1" fillId="7" borderId="54" xfId="0" applyFont="1" applyFill="1" applyBorder="1" applyAlignment="1"/>
    <xf numFmtId="0" fontId="0" fillId="7" borderId="60" xfId="0" applyFill="1" applyBorder="1" applyAlignment="1"/>
    <xf numFmtId="0" fontId="1" fillId="7" borderId="48" xfId="0" applyFont="1" applyFill="1" applyBorder="1" applyAlignment="1"/>
    <xf numFmtId="0" fontId="0" fillId="7" borderId="59" xfId="0" applyFill="1" applyBorder="1" applyAlignment="1"/>
    <xf numFmtId="0" fontId="54" fillId="7" borderId="5" xfId="0" applyFont="1" applyFill="1" applyBorder="1" applyAlignment="1"/>
    <xf numFmtId="0" fontId="54" fillId="7" borderId="29" xfId="0" applyFont="1" applyFill="1" applyBorder="1" applyAlignment="1"/>
    <xf numFmtId="0" fontId="1" fillId="7" borderId="32" xfId="0" applyFont="1" applyFill="1" applyBorder="1" applyAlignment="1"/>
    <xf numFmtId="0" fontId="0" fillId="7" borderId="58" xfId="0" applyFill="1" applyBorder="1" applyAlignment="1"/>
    <xf numFmtId="0" fontId="0" fillId="7" borderId="63" xfId="0" applyFill="1" applyBorder="1" applyAlignment="1"/>
  </cellXfs>
  <cellStyles count="12">
    <cellStyle name="Comma" xfId="1" builtinId="3"/>
    <cellStyle name="Currency" xfId="2" builtinId="4"/>
    <cellStyle name="Hyperlink" xfId="3" builtinId="8"/>
    <cellStyle name="Normal" xfId="0" builtinId="0"/>
    <cellStyle name="Normal 2" xfId="4"/>
    <cellStyle name="Normal 2 2" xfId="8"/>
    <cellStyle name="Normal 2 3" xfId="7"/>
    <cellStyle name="Normal 3" xfId="9"/>
    <cellStyle name="Normal 4" xfId="10"/>
    <cellStyle name="Normal 5" xfId="11"/>
    <cellStyle name="Normal_OR 9699 data updated to 2005" xfId="5"/>
    <cellStyle name="Percent" xfId="6" builtinId="5"/>
  </cellStyles>
  <dxfs count="293">
    <dxf>
      <font>
        <b/>
        <i val="0"/>
        <condense val="0"/>
        <extend val="0"/>
        <color indexed="10"/>
      </font>
    </dxf>
    <dxf>
      <fill>
        <patternFill patternType="solid">
          <bgColor indexed="9"/>
        </patternFill>
      </fill>
      <border>
        <left/>
        <right/>
        <top/>
        <bottom/>
      </border>
    </dxf>
    <dxf>
      <font>
        <condense val="0"/>
        <extend val="0"/>
        <color indexed="9"/>
      </font>
      <border>
        <left/>
        <right/>
        <top/>
        <bottom/>
      </border>
    </dxf>
    <dxf>
      <font>
        <condense val="0"/>
        <extend val="0"/>
        <color auto="1"/>
      </font>
      <fill>
        <patternFill patternType="solid">
          <bgColor indexed="9"/>
        </patternFill>
      </fill>
      <border>
        <left/>
        <right/>
        <top/>
        <bottom/>
      </border>
    </dxf>
    <dxf>
      <font>
        <condense val="0"/>
        <extend val="0"/>
        <color indexed="9"/>
      </font>
      <fill>
        <patternFill patternType="solid">
          <bgColor indexed="9"/>
        </patternFill>
      </fill>
      <border>
        <left/>
        <right/>
        <top/>
        <bottom/>
      </border>
    </dxf>
    <dxf>
      <border>
        <left/>
        <right/>
        <top/>
        <bottom/>
      </border>
    </dxf>
    <dxf>
      <font>
        <condense val="0"/>
        <extend val="0"/>
        <color indexed="9"/>
      </font>
      <border>
        <left/>
        <right/>
        <top/>
        <bottom/>
      </border>
    </dxf>
    <dxf>
      <fill>
        <patternFill patternType="none">
          <bgColor indexed="65"/>
        </patternFill>
      </fill>
      <border>
        <left/>
        <right/>
        <top/>
        <bottom/>
      </border>
    </dxf>
    <dxf>
      <font>
        <condense val="0"/>
        <extend val="0"/>
        <color indexed="9"/>
      </font>
      <border>
        <left/>
        <right/>
        <top/>
        <bottom/>
      </border>
    </dxf>
    <dxf>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auto="1"/>
      </font>
      <border>
        <left/>
        <right/>
        <top/>
        <bottom/>
      </border>
    </dxf>
    <dxf>
      <font>
        <condense val="0"/>
        <extend val="0"/>
        <color indexed="9"/>
      </font>
      <border>
        <left/>
        <right/>
        <top/>
        <bottom/>
      </border>
    </dxf>
    <dxf>
      <font>
        <condense val="0"/>
        <extend val="0"/>
        <color indexed="9"/>
      </font>
      <border>
        <left/>
        <right/>
        <top/>
        <bottom/>
      </border>
    </dxf>
    <dxf>
      <border>
        <left/>
        <right/>
        <top/>
        <bottom/>
      </border>
    </dxf>
    <dxf>
      <font>
        <b/>
        <i val="0"/>
        <condense val="0"/>
        <extend val="0"/>
        <color indexed="12"/>
      </font>
    </dxf>
    <dxf>
      <font>
        <b/>
        <i val="0"/>
        <condense val="0"/>
        <extend val="0"/>
        <color indexed="10"/>
      </font>
      <fill>
        <patternFill patternType="none">
          <bgColor indexed="65"/>
        </patternFill>
      </fill>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2"/>
      </font>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fill>
        <patternFill patternType="none">
          <bgColor indexed="65"/>
        </patternFill>
      </fill>
    </dxf>
    <dxf>
      <font>
        <condense val="0"/>
        <extend val="0"/>
        <color indexed="12"/>
      </font>
    </dxf>
    <dxf>
      <font>
        <condense val="0"/>
        <extend val="0"/>
        <color indexed="12"/>
      </font>
    </dxf>
    <dxf>
      <font>
        <condense val="0"/>
        <extend val="0"/>
        <color indexed="12"/>
      </font>
    </dxf>
    <dxf>
      <border>
        <left style="thin">
          <color indexed="64"/>
        </left>
        <right/>
        <top style="thin">
          <color indexed="64"/>
        </top>
        <bottom style="thin">
          <color indexed="64"/>
        </bottom>
      </border>
    </dxf>
    <dxf>
      <border>
        <left/>
        <right/>
        <top/>
        <bottom/>
      </border>
    </dxf>
    <dxf>
      <border>
        <left/>
        <right style="thin">
          <color indexed="64"/>
        </right>
        <top style="thin">
          <color indexed="64"/>
        </top>
        <bottom style="thin">
          <color indexed="64"/>
        </bottom>
      </border>
    </dxf>
    <dxf>
      <border>
        <left/>
        <right/>
        <top/>
        <bottom/>
      </border>
    </dxf>
    <dxf>
      <border>
        <left/>
        <right/>
        <top style="thin">
          <color indexed="64"/>
        </top>
        <bottom style="thin">
          <color indexed="64"/>
        </bottom>
      </border>
    </dxf>
    <dxf>
      <border>
        <left/>
        <right/>
        <top/>
        <bottom/>
      </border>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theme="0"/>
      </font>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style="thin">
          <color auto="1"/>
        </bottom>
        <vertical/>
        <horizontal/>
      </border>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ont>
        <condense val="0"/>
        <extend val="0"/>
        <color indexed="9"/>
      </font>
      <fill>
        <patternFill patternType="none">
          <bgColor indexed="65"/>
        </patternFill>
      </fill>
    </dxf>
    <dxf>
      <font>
        <condense val="0"/>
        <extend val="0"/>
        <color indexed="22"/>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border>
        <left/>
        <right/>
        <top style="thin">
          <color auto="1"/>
        </top>
        <bottom style="thin">
          <color auto="1"/>
        </bottom>
        <vertical/>
        <horizontal/>
      </border>
    </dxf>
    <dxf>
      <fill>
        <patternFill>
          <bgColor indexed="22"/>
        </patternFill>
      </fill>
    </dxf>
    <dxf>
      <font>
        <condense val="0"/>
        <extend val="0"/>
        <u val="none"/>
      </font>
      <border>
        <left/>
        <right/>
        <top/>
        <bottom style="thin">
          <color indexed="64"/>
        </bottom>
      </border>
    </dxf>
    <dxf>
      <border>
        <left/>
        <right/>
        <top/>
        <bottom/>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right/>
        <top/>
        <bottom/>
        <vertical/>
        <horizontal/>
      </border>
    </dxf>
    <dxf>
      <border>
        <left style="thin">
          <color auto="1"/>
        </left>
        <right style="thin">
          <color auto="1"/>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style="thin">
          <color auto="1"/>
        </right>
        <top style="thin">
          <color auto="1"/>
        </top>
        <bottom style="thin">
          <color auto="1"/>
        </bottom>
        <vertical/>
        <horizontal/>
      </border>
    </dxf>
    <dxf>
      <border>
        <left/>
        <right style="thin">
          <color auto="1"/>
        </right>
        <top style="thin">
          <color auto="1"/>
        </top>
        <bottom style="thin">
          <color auto="1"/>
        </bottom>
        <vertical/>
        <horizontal/>
      </border>
    </dxf>
    <dxf>
      <border>
        <left/>
        <right/>
        <top style="thin">
          <color auto="1"/>
        </top>
        <bottom style="thin">
          <color auto="1"/>
        </bottom>
        <vertical/>
        <horizontal/>
      </border>
    </dxf>
    <dxf>
      <border>
        <left style="thin">
          <color auto="1"/>
        </left>
        <right/>
        <top style="thin">
          <color auto="1"/>
        </top>
        <bottom style="thin">
          <color auto="1"/>
        </bottom>
        <vertical/>
        <horizontal/>
      </border>
    </dxf>
    <dxf>
      <border>
        <left/>
        <right/>
        <top/>
        <bottom style="thin">
          <color auto="1"/>
        </bottom>
        <vertical/>
        <horizontal/>
      </border>
    </dxf>
    <dxf>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theme="0"/>
      </font>
    </dxf>
    <dxf>
      <font>
        <color auto="1"/>
      </font>
      <fill>
        <patternFill patternType="none">
          <bgColor auto="1"/>
        </patternFill>
      </fill>
      <border>
        <left style="thin">
          <color auto="1"/>
        </left>
        <right style="thin">
          <color auto="1"/>
        </right>
        <top style="thin">
          <color auto="1"/>
        </top>
        <bottom style="thin">
          <color auto="1"/>
        </bottom>
        <vertical/>
        <horizontal/>
      </border>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auto="1"/>
      </font>
    </dxf>
    <dxf>
      <font>
        <color auto="1"/>
      </font>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rgb="FF99FF99"/>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ont>
        <condense val="0"/>
        <extend val="0"/>
        <color indexed="10"/>
      </font>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ont>
        <condense val="0"/>
        <extend val="0"/>
        <color indexed="9"/>
      </font>
      <fill>
        <patternFill patternType="none">
          <bgColor indexed="65"/>
        </patternFill>
      </fill>
    </dxf>
    <dxf>
      <font>
        <condense val="0"/>
        <extend val="0"/>
        <color indexed="10"/>
      </font>
    </dxf>
    <dxf>
      <fill>
        <patternFill patternType="none">
          <bgColor auto="1"/>
        </patternFill>
      </fill>
    </dxf>
    <dxf>
      <fill>
        <patternFill patternType="none">
          <bgColor auto="1"/>
        </patternFill>
      </fill>
    </dxf>
    <dxf>
      <fill>
        <patternFill patternType="none">
          <bgColor indexed="65"/>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ont>
        <color auto="1"/>
      </font>
      <fill>
        <patternFill patternType="none">
          <bgColor indexed="65"/>
        </patternFill>
      </fill>
      <border>
        <left style="thin">
          <color auto="1"/>
        </left>
        <right style="thin">
          <color auto="1"/>
        </right>
        <top style="thin">
          <color auto="1"/>
        </top>
        <bottom style="thin">
          <color auto="1"/>
        </bottom>
      </border>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0"/>
        </patternFill>
      </fill>
    </dxf>
    <dxf>
      <fill>
        <patternFill patternType="solid">
          <bgColor theme="0" tint="-0.24994659260841701"/>
        </patternFill>
      </fill>
    </dxf>
    <dxf>
      <fill>
        <patternFill patternType="none">
          <bgColor auto="1"/>
        </patternFill>
      </fill>
    </dxf>
    <dxf>
      <fill>
        <patternFill patternType="solid">
          <bgColor theme="0" tint="-0.24994659260841701"/>
        </patternFill>
      </fill>
    </dxf>
    <dxf>
      <fill>
        <patternFill patternType="none">
          <bgColor auto="1"/>
        </patternFill>
      </fill>
    </dxf>
    <dxf>
      <fill>
        <patternFill patternType="none">
          <bgColor auto="1"/>
        </patternFill>
      </fill>
    </dxf>
    <dxf>
      <font>
        <condense val="0"/>
        <extend val="0"/>
        <color indexed="9"/>
      </font>
    </dxf>
    <dxf>
      <border>
        <left/>
        <right/>
        <top/>
        <bottom/>
      </border>
    </dxf>
    <dxf>
      <font>
        <condense val="0"/>
        <extend val="0"/>
        <color indexed="10"/>
      </font>
    </dxf>
    <dxf>
      <font>
        <condense val="0"/>
        <extend val="0"/>
        <color indexed="10"/>
      </font>
      <border>
        <left style="thin">
          <color indexed="10"/>
        </left>
        <right style="thin">
          <color indexed="10"/>
        </right>
        <top style="thin">
          <color indexed="10"/>
        </top>
        <bottom style="thin">
          <color indexed="10"/>
        </bottom>
      </border>
    </dxf>
    <dxf>
      <font>
        <condense val="0"/>
        <extend val="0"/>
        <color indexed="9"/>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color rgb="FFFFFFCC"/>
      <color rgb="FFFFFF66"/>
      <color rgb="FF99FF99"/>
      <color rgb="FF99CCFF"/>
      <color rgb="FF66FF99"/>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lerkofcourt.maricopa.gov/" TargetMode="External"/><Relationship Id="rId1" Type="http://schemas.openxmlformats.org/officeDocument/2006/relationships/hyperlink" Target="http://www.clerkofcourt.maricop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cf.hhs.gov/programs/css/resource/state-income-withholding-contacts-and-program-inform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familysupportcenter.maricopa.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J272"/>
  <sheetViews>
    <sheetView tabSelected="1" zoomScale="90" zoomScaleNormal="90" workbookViewId="0"/>
  </sheetViews>
  <sheetFormatPr defaultColWidth="3.140625" defaultRowHeight="12.75"/>
  <cols>
    <col min="1" max="1" width="1.7109375" style="15" customWidth="1"/>
    <col min="2" max="6" width="3.7109375" style="15" customWidth="1"/>
    <col min="7" max="7" width="4.85546875" style="15" customWidth="1"/>
    <col min="8" max="9" width="5.28515625" style="15" customWidth="1"/>
    <col min="10" max="10" width="3.5703125" style="15" customWidth="1"/>
    <col min="11" max="27" width="3.7109375" style="15" customWidth="1"/>
    <col min="28" max="34" width="15.7109375" style="15" hidden="1" customWidth="1"/>
    <col min="35" max="35" width="91.140625" style="15" customWidth="1"/>
    <col min="36" max="89" width="10.7109375" style="15" customWidth="1"/>
    <col min="90" max="16384" width="3.140625" style="15"/>
  </cols>
  <sheetData>
    <row r="1" spans="1:35">
      <c r="A1" s="613"/>
      <c r="B1" s="1045"/>
      <c r="C1" s="1046"/>
      <c r="D1" s="1046"/>
      <c r="E1" s="1046"/>
      <c r="F1" s="1046"/>
      <c r="G1" s="1046"/>
      <c r="H1" s="1046"/>
      <c r="I1" s="1046"/>
      <c r="J1" s="1046"/>
      <c r="K1" s="1046"/>
      <c r="L1" s="1046"/>
      <c r="M1" s="1046"/>
      <c r="N1" s="1046"/>
      <c r="O1" s="1046"/>
      <c r="P1" s="1046"/>
      <c r="Q1" s="1046"/>
      <c r="R1" s="1046"/>
      <c r="S1" s="1046"/>
      <c r="T1" s="1046"/>
      <c r="U1" s="1046"/>
      <c r="V1" s="1046"/>
      <c r="W1" s="1046"/>
      <c r="X1" s="1046"/>
      <c r="Y1" s="1046"/>
      <c r="Z1" s="1046"/>
      <c r="AA1" s="1046"/>
      <c r="AI1" s="346"/>
    </row>
    <row r="2" spans="1:35" ht="15" customHeight="1">
      <c r="A2" s="673"/>
      <c r="B2" s="1057" t="s">
        <v>306</v>
      </c>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9"/>
      <c r="AI2" s="346"/>
    </row>
    <row r="3" spans="1:35" ht="15" customHeight="1">
      <c r="A3" s="944"/>
      <c r="B3" s="1054"/>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6"/>
      <c r="AI3" s="346"/>
    </row>
    <row r="4" spans="1:35" ht="15" customHeight="1">
      <c r="A4" s="945"/>
      <c r="B4" s="1052"/>
      <c r="C4" s="980" t="s">
        <v>284</v>
      </c>
      <c r="D4" s="1047"/>
      <c r="E4" s="957" t="s">
        <v>414</v>
      </c>
      <c r="F4" s="994"/>
      <c r="G4" s="994"/>
      <c r="H4" s="994"/>
      <c r="I4" s="994"/>
      <c r="J4" s="994"/>
      <c r="K4" s="994"/>
      <c r="L4" s="994"/>
      <c r="M4" s="994"/>
      <c r="N4" s="994"/>
      <c r="O4" s="994"/>
      <c r="P4" s="994"/>
      <c r="Q4" s="994"/>
      <c r="R4" s="994"/>
      <c r="S4" s="994"/>
      <c r="T4" s="994"/>
      <c r="U4" s="994"/>
      <c r="V4" s="994"/>
      <c r="W4" s="994"/>
      <c r="X4" s="994"/>
      <c r="Y4" s="994"/>
      <c r="Z4" s="994"/>
      <c r="AA4" s="939"/>
      <c r="AI4" s="346"/>
    </row>
    <row r="5" spans="1:35" ht="15" customHeight="1">
      <c r="A5" s="945"/>
      <c r="B5" s="1053"/>
      <c r="C5" s="1048" t="s">
        <v>285</v>
      </c>
      <c r="D5" s="1049"/>
      <c r="E5" s="957" t="s">
        <v>415</v>
      </c>
      <c r="F5" s="994"/>
      <c r="G5" s="994"/>
      <c r="H5" s="994"/>
      <c r="I5" s="994"/>
      <c r="J5" s="994"/>
      <c r="K5" s="994"/>
      <c r="L5" s="994"/>
      <c r="M5" s="994"/>
      <c r="N5" s="994"/>
      <c r="O5" s="994"/>
      <c r="P5" s="994"/>
      <c r="Q5" s="994"/>
      <c r="R5" s="994"/>
      <c r="S5" s="994"/>
      <c r="T5" s="994"/>
      <c r="U5" s="994"/>
      <c r="V5" s="994"/>
      <c r="W5" s="994"/>
      <c r="X5" s="994"/>
      <c r="Y5" s="994"/>
      <c r="Z5" s="994"/>
      <c r="AA5" s="939"/>
      <c r="AI5" s="346"/>
    </row>
    <row r="6" spans="1:35" ht="15" customHeight="1">
      <c r="A6" s="945"/>
      <c r="B6" s="1053"/>
      <c r="C6" s="1050" t="s">
        <v>286</v>
      </c>
      <c r="D6" s="1051"/>
      <c r="E6" s="957" t="s">
        <v>416</v>
      </c>
      <c r="F6" s="994"/>
      <c r="G6" s="994"/>
      <c r="H6" s="994"/>
      <c r="I6" s="994"/>
      <c r="J6" s="994"/>
      <c r="K6" s="994"/>
      <c r="L6" s="994"/>
      <c r="M6" s="994"/>
      <c r="N6" s="994"/>
      <c r="O6" s="994"/>
      <c r="P6" s="994"/>
      <c r="Q6" s="994"/>
      <c r="R6" s="994"/>
      <c r="S6" s="994"/>
      <c r="T6" s="994"/>
      <c r="U6" s="994"/>
      <c r="V6" s="994"/>
      <c r="W6" s="994"/>
      <c r="X6" s="994"/>
      <c r="Y6" s="994"/>
      <c r="Z6" s="994"/>
      <c r="AA6" s="939"/>
      <c r="AI6" s="346"/>
    </row>
    <row r="7" spans="1:35" ht="15" customHeight="1">
      <c r="A7" s="945"/>
      <c r="B7" s="983"/>
      <c r="C7" s="984"/>
      <c r="D7" s="984"/>
      <c r="E7" s="984"/>
      <c r="F7" s="984"/>
      <c r="G7" s="984"/>
      <c r="H7" s="984"/>
      <c r="I7" s="984"/>
      <c r="J7" s="984"/>
      <c r="K7" s="984"/>
      <c r="L7" s="984"/>
      <c r="M7" s="984"/>
      <c r="N7" s="984"/>
      <c r="O7" s="984"/>
      <c r="P7" s="984"/>
      <c r="Q7" s="984"/>
      <c r="R7" s="984"/>
      <c r="S7" s="984"/>
      <c r="T7" s="984"/>
      <c r="U7" s="984"/>
      <c r="V7" s="984"/>
      <c r="W7" s="984"/>
      <c r="X7" s="984"/>
      <c r="Y7" s="984"/>
      <c r="Z7" s="984"/>
      <c r="AA7" s="985"/>
      <c r="AI7" s="346"/>
    </row>
    <row r="8" spans="1:35" ht="15" customHeight="1">
      <c r="A8" s="438"/>
      <c r="B8" s="980" t="s">
        <v>305</v>
      </c>
      <c r="C8" s="981"/>
      <c r="D8" s="981"/>
      <c r="E8" s="981"/>
      <c r="F8" s="981"/>
      <c r="G8" s="981"/>
      <c r="H8" s="981"/>
      <c r="I8" s="981"/>
      <c r="J8" s="981"/>
      <c r="K8" s="981"/>
      <c r="L8" s="981"/>
      <c r="M8" s="981"/>
      <c r="N8" s="981"/>
      <c r="O8" s="981"/>
      <c r="P8" s="981"/>
      <c r="Q8" s="981"/>
      <c r="R8" s="981"/>
      <c r="S8" s="981"/>
      <c r="T8" s="981"/>
      <c r="U8" s="981"/>
      <c r="V8" s="981"/>
      <c r="W8" s="981"/>
      <c r="X8" s="981"/>
      <c r="Y8" s="981"/>
      <c r="Z8" s="981"/>
      <c r="AA8" s="982"/>
      <c r="AI8" s="346"/>
    </row>
    <row r="9" spans="1:35" ht="15" customHeight="1">
      <c r="A9" s="946"/>
      <c r="B9" s="1031"/>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3"/>
      <c r="AI9" s="346"/>
    </row>
    <row r="10" spans="1:35" ht="15" customHeight="1">
      <c r="A10" s="945"/>
      <c r="B10" s="967" t="s">
        <v>352</v>
      </c>
      <c r="C10" s="968"/>
      <c r="D10" s="968"/>
      <c r="E10" s="1027"/>
      <c r="F10" s="1042"/>
      <c r="G10" s="1043"/>
      <c r="H10" s="1043"/>
      <c r="I10" s="1043"/>
      <c r="J10" s="1044"/>
      <c r="K10" s="438"/>
      <c r="L10" s="438"/>
      <c r="M10" s="438"/>
      <c r="N10" s="438"/>
      <c r="O10" s="438"/>
      <c r="P10" s="946" t="s">
        <v>288</v>
      </c>
      <c r="Q10" s="947"/>
      <c r="R10" s="947"/>
      <c r="S10" s="1034"/>
      <c r="T10" s="414"/>
      <c r="U10" s="438"/>
      <c r="V10" s="438"/>
      <c r="W10" s="438"/>
      <c r="X10" s="438"/>
      <c r="Y10" s="438"/>
      <c r="Z10" s="438"/>
      <c r="AA10" s="421"/>
      <c r="AI10" s="346"/>
    </row>
    <row r="11" spans="1:35" ht="15" customHeight="1">
      <c r="A11" s="945"/>
      <c r="B11" s="539"/>
      <c r="C11" s="540"/>
      <c r="D11" s="540"/>
      <c r="E11" s="540"/>
      <c r="F11" s="520"/>
      <c r="G11" s="520"/>
      <c r="H11" s="520"/>
      <c r="I11" s="520"/>
      <c r="J11" s="407"/>
      <c r="K11" s="407"/>
      <c r="L11" s="407"/>
      <c r="M11" s="407"/>
      <c r="N11" s="438"/>
      <c r="O11" s="438"/>
      <c r="P11" s="407"/>
      <c r="Q11" s="438"/>
      <c r="R11" s="438"/>
      <c r="S11" s="438"/>
      <c r="T11" s="221"/>
      <c r="U11" s="438"/>
      <c r="V11" s="438"/>
      <c r="W11" s="438"/>
      <c r="X11" s="438"/>
      <c r="Y11" s="438"/>
      <c r="Z11" s="438"/>
      <c r="AA11" s="421"/>
      <c r="AI11" s="346"/>
    </row>
    <row r="12" spans="1:35" ht="15" customHeight="1">
      <c r="A12" s="945"/>
      <c r="B12" s="967" t="s">
        <v>353</v>
      </c>
      <c r="C12" s="968"/>
      <c r="D12" s="968"/>
      <c r="E12" s="1027"/>
      <c r="F12" s="1028"/>
      <c r="G12" s="1029"/>
      <c r="H12" s="1029"/>
      <c r="I12" s="1029"/>
      <c r="J12" s="1029"/>
      <c r="K12" s="1029"/>
      <c r="L12" s="1029"/>
      <c r="M12" s="1029"/>
      <c r="N12" s="1030"/>
      <c r="O12" s="221"/>
      <c r="P12" s="946" t="s">
        <v>289</v>
      </c>
      <c r="Q12" s="1035"/>
      <c r="R12" s="1035"/>
      <c r="S12" s="904"/>
      <c r="T12" s="414"/>
      <c r="U12" s="957" t="s">
        <v>291</v>
      </c>
      <c r="V12" s="947"/>
      <c r="W12" s="1034"/>
      <c r="X12" s="415" t="str">
        <f>IF(AND(NOT(ISBLANK(F12)),ISBLANK(T12)),"x","")</f>
        <v/>
      </c>
      <c r="Y12" s="957" t="s">
        <v>290</v>
      </c>
      <c r="Z12" s="947"/>
      <c r="AA12" s="1034"/>
      <c r="AI12" s="642"/>
    </row>
    <row r="13" spans="1:35" ht="15" customHeight="1">
      <c r="A13" s="945"/>
      <c r="B13" s="539"/>
      <c r="C13" s="540"/>
      <c r="D13" s="540"/>
      <c r="E13" s="540"/>
      <c r="F13" s="407"/>
      <c r="G13" s="407"/>
      <c r="H13" s="407"/>
      <c r="I13" s="407"/>
      <c r="J13" s="407"/>
      <c r="K13" s="407"/>
      <c r="L13" s="407"/>
      <c r="M13" s="407"/>
      <c r="N13" s="407"/>
      <c r="O13" s="438"/>
      <c r="P13" s="438"/>
      <c r="Q13" s="438"/>
      <c r="R13" s="438"/>
      <c r="S13" s="438"/>
      <c r="T13" s="438"/>
      <c r="U13" s="438"/>
      <c r="V13" s="438"/>
      <c r="W13" s="438"/>
      <c r="X13" s="438"/>
      <c r="Y13" s="438"/>
      <c r="Z13" s="438"/>
      <c r="AA13" s="421"/>
      <c r="AI13" s="346"/>
    </row>
    <row r="14" spans="1:35" ht="15" customHeight="1">
      <c r="A14" s="945"/>
      <c r="B14" s="967" t="s">
        <v>354</v>
      </c>
      <c r="C14" s="968"/>
      <c r="D14" s="968"/>
      <c r="E14" s="968"/>
      <c r="F14" s="1028"/>
      <c r="G14" s="1029"/>
      <c r="H14" s="1029"/>
      <c r="I14" s="1029"/>
      <c r="J14" s="1029"/>
      <c r="K14" s="1029"/>
      <c r="L14" s="1029"/>
      <c r="M14" s="1029"/>
      <c r="N14" s="1030"/>
      <c r="O14" s="438"/>
      <c r="P14" s="438"/>
      <c r="Q14" s="438"/>
      <c r="R14" s="438"/>
      <c r="S14" s="438"/>
      <c r="T14" s="438"/>
      <c r="U14" s="438"/>
      <c r="V14" s="438"/>
      <c r="W14" s="438"/>
      <c r="X14" s="438"/>
      <c r="Y14" s="438"/>
      <c r="Z14" s="438"/>
      <c r="AA14" s="421"/>
      <c r="AI14" s="346"/>
    </row>
    <row r="15" spans="1:35" ht="15" customHeight="1">
      <c r="A15" s="945"/>
      <c r="B15" s="541"/>
      <c r="C15" s="542"/>
      <c r="D15" s="542"/>
      <c r="E15" s="542"/>
      <c r="F15" s="405"/>
      <c r="G15" s="405"/>
      <c r="H15" s="405"/>
      <c r="I15" s="405"/>
      <c r="J15" s="405"/>
      <c r="K15" s="405"/>
      <c r="L15" s="405"/>
      <c r="M15" s="407"/>
      <c r="N15" s="407"/>
      <c r="O15" s="438"/>
      <c r="P15" s="438"/>
      <c r="Q15" s="438"/>
      <c r="R15" s="438"/>
      <c r="S15" s="438"/>
      <c r="T15" s="438"/>
      <c r="U15" s="438"/>
      <c r="V15" s="438"/>
      <c r="W15" s="438"/>
      <c r="X15" s="438"/>
      <c r="Y15" s="438"/>
      <c r="Z15" s="438"/>
      <c r="AA15" s="421"/>
      <c r="AI15" s="346"/>
    </row>
    <row r="16" spans="1:35" ht="15" customHeight="1">
      <c r="A16" s="945"/>
      <c r="B16" s="967" t="s">
        <v>355</v>
      </c>
      <c r="C16" s="968"/>
      <c r="D16" s="968"/>
      <c r="E16" s="968"/>
      <c r="F16" s="965" t="s">
        <v>537</v>
      </c>
      <c r="G16" s="966"/>
      <c r="H16" s="966"/>
      <c r="I16" s="966"/>
      <c r="J16" s="966"/>
      <c r="K16" s="966"/>
      <c r="L16" s="964"/>
      <c r="M16" s="961" t="s">
        <v>113</v>
      </c>
      <c r="N16" s="962"/>
      <c r="O16" s="962"/>
      <c r="P16" s="962"/>
      <c r="Q16" s="962"/>
      <c r="R16" s="963"/>
      <c r="S16" s="978" t="s">
        <v>175</v>
      </c>
      <c r="T16" s="966"/>
      <c r="U16" s="972" t="s">
        <v>292</v>
      </c>
      <c r="V16" s="966"/>
      <c r="W16" s="966"/>
      <c r="X16" s="966"/>
      <c r="Y16" s="966"/>
      <c r="Z16" s="966"/>
      <c r="AA16" s="537"/>
      <c r="AI16" s="346"/>
    </row>
    <row r="17" spans="1:36" ht="15" customHeight="1">
      <c r="A17" s="945"/>
      <c r="B17" s="538"/>
      <c r="C17" s="438"/>
      <c r="D17" s="438"/>
      <c r="E17" s="438"/>
      <c r="F17" s="966"/>
      <c r="G17" s="966"/>
      <c r="H17" s="966"/>
      <c r="I17" s="966"/>
      <c r="J17" s="966"/>
      <c r="K17" s="966"/>
      <c r="L17" s="964"/>
      <c r="M17" s="964"/>
      <c r="N17" s="962"/>
      <c r="O17" s="962"/>
      <c r="P17" s="962"/>
      <c r="Q17" s="962"/>
      <c r="R17" s="963"/>
      <c r="S17" s="963"/>
      <c r="T17" s="966"/>
      <c r="U17" s="972" t="s">
        <v>287</v>
      </c>
      <c r="V17" s="972"/>
      <c r="W17" s="972"/>
      <c r="X17" s="972" t="s">
        <v>283</v>
      </c>
      <c r="Y17" s="973"/>
      <c r="Z17" s="973"/>
      <c r="AA17" s="537"/>
      <c r="AI17" s="346"/>
    </row>
    <row r="18" spans="1:36" ht="15" customHeight="1">
      <c r="A18" s="945"/>
      <c r="B18" s="957"/>
      <c r="C18" s="958"/>
      <c r="D18" s="958"/>
      <c r="E18" s="958"/>
      <c r="F18" s="959"/>
      <c r="G18" s="960"/>
      <c r="H18" s="960"/>
      <c r="I18" s="960"/>
      <c r="J18" s="960"/>
      <c r="K18" s="960"/>
      <c r="L18" s="960"/>
      <c r="M18" s="969"/>
      <c r="N18" s="970"/>
      <c r="O18" s="970"/>
      <c r="P18" s="970"/>
      <c r="Q18" s="971"/>
      <c r="R18" s="971"/>
      <c r="S18" s="979"/>
      <c r="T18" s="979"/>
      <c r="U18" s="976" t="str">
        <f ca="1">IF(AND(NOT(ISNUMBER($M$18)),NOT(ISNUMBER($M$19)),NOT(ISNUMBER($M$20)),NOT(ISNUMBER($M$21)),NOT(ISNUMBER($M$22)),NOT(ISNUMBER($M$23))),"",IF(AND(ISNUMBER(M18),(TODAY()-MAX($M$18:$M$23))/365.25&gt;19),"Over 19",IF(AND(OR(MONTH($L$32)=1,MONTH($L$32)=2,MONTH($L$32)=3,MONTH($L$32)=4,MONTH($L$32)=5),M18=MAX($M$18:$M$23)),VLOOKUP(YEAR($L$32),PTD!$B$33:'PTD'!$F$52,3,FALSE),IF(M18=MAX($M$18:$M$23),VLOOKUP(YEAR($L$32),PTD!$B$33:'PTD'!$F$52,5,FALSE),""))))</f>
        <v/>
      </c>
      <c r="V18" s="977"/>
      <c r="W18" s="977"/>
      <c r="X18" s="1036"/>
      <c r="Y18" s="1037"/>
      <c r="Z18" s="1038"/>
      <c r="AA18" s="537"/>
      <c r="AI18" s="346"/>
    </row>
    <row r="19" spans="1:36" ht="15" customHeight="1">
      <c r="A19" s="945"/>
      <c r="B19" s="538"/>
      <c r="C19" s="438"/>
      <c r="D19" s="438"/>
      <c r="E19" s="438"/>
      <c r="F19" s="959"/>
      <c r="G19" s="960"/>
      <c r="H19" s="960"/>
      <c r="I19" s="960"/>
      <c r="J19" s="960"/>
      <c r="K19" s="960"/>
      <c r="L19" s="960"/>
      <c r="M19" s="969"/>
      <c r="N19" s="970"/>
      <c r="O19" s="970"/>
      <c r="P19" s="970"/>
      <c r="Q19" s="971"/>
      <c r="R19" s="971"/>
      <c r="S19" s="979"/>
      <c r="T19" s="979"/>
      <c r="U19" s="976" t="str">
        <f ca="1">IF(AND(NOT(ISNUMBER($M$18)),NOT(ISNUMBER($M$19)),NOT(ISNUMBER($M$20)),NOT(ISNUMBER($M$21)),NOT(ISNUMBER($M$22)),NOT(ISNUMBER($M$23))),"",IF(AND(ISNUMBER(M19),(TODAY()-MAX($M$18:$M$23))/365.25&gt;19),"Over 19",IF(AND(OR(MONTH($L$32)=1,MONTH($L$32)=2,MONTH($L$32)=3,MONTH($L$32)=4,MONTH($L$32)=5),M19=MAX($M$18:$M$23)),VLOOKUP(YEAR($L$32),PTD!$B$33:'PTD'!$F$52,3,FALSE),IF(M19=MAX($M$18:$M$23),VLOOKUP(YEAR($L$32),PTD!$B$33:'PTD'!$F$52,5,FALSE),""))))</f>
        <v/>
      </c>
      <c r="V19" s="977"/>
      <c r="W19" s="977"/>
      <c r="X19" s="1039"/>
      <c r="Y19" s="1039"/>
      <c r="Z19" s="1040"/>
      <c r="AA19" s="537"/>
      <c r="AI19" s="346"/>
    </row>
    <row r="20" spans="1:36" ht="15" customHeight="1">
      <c r="A20" s="945"/>
      <c r="B20" s="538"/>
      <c r="C20" s="438"/>
      <c r="D20" s="438"/>
      <c r="E20" s="438"/>
      <c r="F20" s="959"/>
      <c r="G20" s="960"/>
      <c r="H20" s="960"/>
      <c r="I20" s="960"/>
      <c r="J20" s="960"/>
      <c r="K20" s="960"/>
      <c r="L20" s="960"/>
      <c r="M20" s="969"/>
      <c r="N20" s="970"/>
      <c r="O20" s="970"/>
      <c r="P20" s="970"/>
      <c r="Q20" s="971"/>
      <c r="R20" s="971"/>
      <c r="S20" s="979"/>
      <c r="T20" s="979"/>
      <c r="U20" s="976" t="str">
        <f ca="1">IF(AND(NOT(ISNUMBER($M$18)),NOT(ISNUMBER($M$19)),NOT(ISNUMBER($M$20)),NOT(ISNUMBER($M$21)),NOT(ISNUMBER($M$22)),NOT(ISNUMBER($M$23))),"",IF(AND(ISNUMBER(M20),(TODAY()-MAX($M$18:$M$23))/365.25&gt;19),"Over 19",IF(AND(OR(MONTH($L$32)=1,MONTH($L$32)=2,MONTH($L$32)=3,MONTH($L$32)=4,MONTH($L$32)=5),M20=MAX($M$18:$M$23)),VLOOKUP(YEAR($L$32),PTD!$B$33:'PTD'!$F$52,3,FALSE),IF(M20=MAX($M$18:$M$23),VLOOKUP(YEAR($L$32),PTD!$B$33:'PTD'!$F$52,5,FALSE),""))))</f>
        <v/>
      </c>
      <c r="V20" s="977"/>
      <c r="W20" s="977"/>
      <c r="X20" s="1039"/>
      <c r="Y20" s="1039"/>
      <c r="Z20" s="1040"/>
      <c r="AA20" s="537"/>
      <c r="AI20" s="346"/>
      <c r="AJ20" s="534"/>
    </row>
    <row r="21" spans="1:36" ht="15" customHeight="1">
      <c r="A21" s="945"/>
      <c r="B21" s="538"/>
      <c r="C21" s="438"/>
      <c r="D21" s="438"/>
      <c r="E21" s="438"/>
      <c r="F21" s="959"/>
      <c r="G21" s="960"/>
      <c r="H21" s="960"/>
      <c r="I21" s="960"/>
      <c r="J21" s="960"/>
      <c r="K21" s="960"/>
      <c r="L21" s="960"/>
      <c r="M21" s="969"/>
      <c r="N21" s="970"/>
      <c r="O21" s="970"/>
      <c r="P21" s="970"/>
      <c r="Q21" s="971"/>
      <c r="R21" s="971"/>
      <c r="S21" s="979"/>
      <c r="T21" s="979"/>
      <c r="U21" s="976" t="str">
        <f ca="1">IF(AND(NOT(ISNUMBER($M$18)),NOT(ISNUMBER($M$19)),NOT(ISNUMBER($M$20)),NOT(ISNUMBER($M$21)),NOT(ISNUMBER($M$22)),NOT(ISNUMBER($M$23))),"",IF(AND(ISNUMBER(M21),(TODAY()-MAX($M$18:$M$23))/365.25&gt;19),"Over 19",IF(AND(OR(MONTH($L$32)=1,MONTH($L$32)=2,MONTH($L$32)=3,MONTH($L$32)=4,MONTH($L$32)=5),M21=MAX($M$18:$M$23)),VLOOKUP(YEAR($L$32),PTD!$B$33:'PTD'!$F$52,3,FALSE),IF(M21=MAX($M$18:$M$23),VLOOKUP(YEAR($L$32),PTD!$B$33:'PTD'!$F$52,5,FALSE),""))))</f>
        <v/>
      </c>
      <c r="V21" s="977"/>
      <c r="W21" s="977"/>
      <c r="X21" s="1039"/>
      <c r="Y21" s="1039"/>
      <c r="Z21" s="1040"/>
      <c r="AA21" s="537"/>
      <c r="AI21" s="346"/>
      <c r="AJ21" s="594"/>
    </row>
    <row r="22" spans="1:36" ht="15" customHeight="1">
      <c r="A22" s="945"/>
      <c r="B22" s="538"/>
      <c r="C22" s="438"/>
      <c r="D22" s="438"/>
      <c r="E22" s="438"/>
      <c r="F22" s="959"/>
      <c r="G22" s="960"/>
      <c r="H22" s="960"/>
      <c r="I22" s="960"/>
      <c r="J22" s="960"/>
      <c r="K22" s="960"/>
      <c r="L22" s="960"/>
      <c r="M22" s="969"/>
      <c r="N22" s="970"/>
      <c r="O22" s="970"/>
      <c r="P22" s="970"/>
      <c r="Q22" s="971"/>
      <c r="R22" s="971"/>
      <c r="S22" s="979"/>
      <c r="T22" s="979"/>
      <c r="U22" s="976" t="str">
        <f ca="1">IF(AND(NOT(ISNUMBER($M$18)),NOT(ISNUMBER($M$19)),NOT(ISNUMBER($M$20)),NOT(ISNUMBER($M$21)),NOT(ISNUMBER($M$22)),NOT(ISNUMBER($M$23))),"",IF(AND(ISNUMBER(M22),(TODAY()-MAX($M$18:$M$23))/365.25&gt;19),"Over 19",IF(AND(OR(MONTH($L$32)=1,MONTH($L$32)=2,MONTH($L$32)=3,MONTH($L$32)=4,MONTH($L$32)=5),M22=MAX($M$18:$M$23)),VLOOKUP(YEAR($L$32),PTD!$B$33:'PTD'!$F$52,3,FALSE),IF(M22=MAX($M$18:$M$23),VLOOKUP(YEAR($L$32),PTD!$B$33:'PTD'!$F$52,5,FALSE),""))))</f>
        <v/>
      </c>
      <c r="V22" s="977"/>
      <c r="W22" s="977"/>
      <c r="X22" s="1039"/>
      <c r="Y22" s="1039"/>
      <c r="Z22" s="1040"/>
      <c r="AA22" s="537"/>
      <c r="AI22" s="346"/>
      <c r="AJ22" s="534"/>
    </row>
    <row r="23" spans="1:36" ht="15" customHeight="1">
      <c r="A23" s="945"/>
      <c r="B23" s="538"/>
      <c r="C23" s="438"/>
      <c r="D23" s="438"/>
      <c r="E23" s="438"/>
      <c r="F23" s="959"/>
      <c r="G23" s="960"/>
      <c r="H23" s="960"/>
      <c r="I23" s="960"/>
      <c r="J23" s="960"/>
      <c r="K23" s="960"/>
      <c r="L23" s="960"/>
      <c r="M23" s="969"/>
      <c r="N23" s="970"/>
      <c r="O23" s="970"/>
      <c r="P23" s="970"/>
      <c r="Q23" s="971"/>
      <c r="R23" s="971"/>
      <c r="S23" s="979"/>
      <c r="T23" s="979"/>
      <c r="U23" s="976" t="str">
        <f ca="1">IF(AND(NOT(ISNUMBER($M$18)),NOT(ISNUMBER($M$19)),NOT(ISNUMBER($M$20)),NOT(ISNUMBER($M$21)),NOT(ISNUMBER($M$22)),NOT(ISNUMBER($M$23))),"",IF(AND(ISNUMBER(M23),(TODAY()-MAX($M$18:$M$23))/365.25&gt;19),"Over 19",IF(AND(OR(MONTH($L$32)=1,MONTH($L$32)=2,MONTH($L$32)=3,MONTH($L$32)=4,MONTH($L$32)=5),M23=MAX($M$18:$M$23)),VLOOKUP(YEAR($L$32),PTD!$B$33:'PTD'!$F$52,3,FALSE),IF(M23=MAX($M$18:$M$23),VLOOKUP(YEAR($L$32),PTD!$B$33:'PTD'!$F$52,5,FALSE),""))))</f>
        <v/>
      </c>
      <c r="V23" s="977"/>
      <c r="W23" s="977"/>
      <c r="X23" s="911"/>
      <c r="Y23" s="911"/>
      <c r="Z23" s="1041"/>
      <c r="AA23" s="537"/>
      <c r="AI23" s="346"/>
    </row>
    <row r="24" spans="1:36" ht="15" customHeight="1">
      <c r="A24" s="945"/>
      <c r="B24" s="538"/>
      <c r="C24" s="438"/>
      <c r="D24" s="438"/>
      <c r="E24" s="438"/>
      <c r="F24" s="438"/>
      <c r="G24" s="438"/>
      <c r="H24" s="438"/>
      <c r="I24" s="965" t="s">
        <v>295</v>
      </c>
      <c r="J24" s="1025"/>
      <c r="K24" s="1025"/>
      <c r="L24" s="1026"/>
      <c r="M24" s="974" t="str">
        <f>IF(OR(ISNUMBER(M18),ISNUMBER(M19),ISNUMBER(M20),ISNUMBER(M21),ISNUMBER(M22),ISNUMBER(M23)),MAX(M18:M23),"")</f>
        <v/>
      </c>
      <c r="N24" s="975"/>
      <c r="O24" s="975"/>
      <c r="P24" s="975"/>
      <c r="Q24" s="975"/>
      <c r="R24" s="975"/>
      <c r="S24" s="1015" t="str">
        <f ca="1">IF(ISNUMBER(M24),(TODAY()-M24)/365.25,"")</f>
        <v/>
      </c>
      <c r="T24" s="1016"/>
      <c r="U24" s="1017" t="str">
        <f ca="1">IF(AND(ISBLANK(M18),ISBLANK(M19),ISBLANK(M20),ISBLANK(M21),ISBLANK(M22),ISBLANK(M23)),"",IF(AND(OR(ISNUMBER(M18),ISNUMBER(M18),ISNUMBER(M18),ISNUMBER(M18),ISNUMBER(M18),ISNUMBER(M18)),((TODAY()-M24)/365.25&gt;19)),"Over 19",IF(OR(ISNUMBER(M18),ISNUMBER(M18),ISNUMBER(M18),ISNUMBER(M18),ISNUMBER(M18),ISNUMBER(M18)),MAX(U18:U23),"")))</f>
        <v/>
      </c>
      <c r="V24" s="1018"/>
      <c r="W24" s="1019"/>
      <c r="X24" s="891"/>
      <c r="Y24" s="892"/>
      <c r="Z24" s="893"/>
      <c r="AA24" s="421"/>
      <c r="AI24" s="346"/>
    </row>
    <row r="25" spans="1:36" ht="15" customHeight="1">
      <c r="A25" s="945"/>
      <c r="B25" s="538"/>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21"/>
      <c r="AI25" s="346"/>
    </row>
    <row r="26" spans="1:36" ht="15" customHeight="1">
      <c r="A26" s="945"/>
      <c r="B26" s="957" t="s">
        <v>293</v>
      </c>
      <c r="C26" s="993"/>
      <c r="D26" s="993"/>
      <c r="E26" s="993"/>
      <c r="F26" s="993"/>
      <c r="G26" s="993"/>
      <c r="H26" s="993"/>
      <c r="I26" s="993"/>
      <c r="J26" s="993"/>
      <c r="K26" s="993"/>
      <c r="L26" s="993"/>
      <c r="M26" s="438"/>
      <c r="N26" s="952"/>
      <c r="O26" s="953"/>
      <c r="P26" s="953"/>
      <c r="Q26" s="953"/>
      <c r="R26" s="953"/>
      <c r="S26" s="953"/>
      <c r="T26" s="953"/>
      <c r="U26" s="953"/>
      <c r="V26" s="953"/>
      <c r="W26" s="954"/>
      <c r="X26" s="438"/>
      <c r="Y26" s="438"/>
      <c r="Z26" s="438"/>
      <c r="AA26" s="421"/>
      <c r="AI26" s="643"/>
    </row>
    <row r="27" spans="1:36" ht="15" customHeight="1">
      <c r="A27" s="945"/>
      <c r="B27" s="1342"/>
      <c r="C27" s="1343"/>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4"/>
      <c r="AI27" s="346"/>
    </row>
    <row r="28" spans="1:36" ht="15" customHeight="1">
      <c r="A28" s="945"/>
      <c r="B28" s="1346" t="s">
        <v>294</v>
      </c>
      <c r="C28" s="1035"/>
      <c r="D28" s="1035"/>
      <c r="E28" s="1035"/>
      <c r="F28" s="1035"/>
      <c r="G28" s="1035"/>
      <c r="H28" s="1035"/>
      <c r="I28" s="1035"/>
      <c r="J28" s="1035"/>
      <c r="K28" s="1035"/>
      <c r="L28" s="994"/>
      <c r="M28" s="939"/>
      <c r="N28" s="949"/>
      <c r="O28" s="950"/>
      <c r="P28" s="950"/>
      <c r="Q28" s="950"/>
      <c r="R28" s="950"/>
      <c r="S28" s="950"/>
      <c r="T28" s="950"/>
      <c r="U28" s="950"/>
      <c r="V28" s="950"/>
      <c r="W28" s="951"/>
      <c r="X28" s="438"/>
      <c r="Y28" s="438"/>
      <c r="Z28" s="438"/>
      <c r="AA28" s="421"/>
      <c r="AI28" s="346"/>
    </row>
    <row r="29" spans="1:36" ht="15" customHeight="1">
      <c r="A29" s="945"/>
      <c r="B29" s="1345"/>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257"/>
      <c r="AI29" s="346"/>
    </row>
    <row r="30" spans="1:36" ht="15" customHeight="1">
      <c r="A30" s="421"/>
      <c r="B30" s="1248" t="s">
        <v>418</v>
      </c>
      <c r="C30" s="1352"/>
      <c r="D30" s="1352"/>
      <c r="E30" s="1352"/>
      <c r="F30" s="1352"/>
      <c r="G30" s="1352"/>
      <c r="H30" s="1352"/>
      <c r="I30" s="1352"/>
      <c r="J30" s="1352"/>
      <c r="K30" s="1352"/>
      <c r="L30" s="1352"/>
      <c r="M30" s="1352"/>
      <c r="N30" s="1352"/>
      <c r="O30" s="1352"/>
      <c r="P30" s="1352"/>
      <c r="Q30" s="1352"/>
      <c r="R30" s="1352"/>
      <c r="S30" s="1352"/>
      <c r="T30" s="1352"/>
      <c r="U30" s="1352"/>
      <c r="V30" s="1352"/>
      <c r="W30" s="1352"/>
      <c r="X30" s="1352"/>
      <c r="Y30" s="1352"/>
      <c r="Z30" s="1352"/>
      <c r="AA30" s="1353"/>
      <c r="AI30" s="631"/>
    </row>
    <row r="31" spans="1:36" ht="15" customHeight="1">
      <c r="A31" s="423"/>
      <c r="B31" s="948"/>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I31" s="631"/>
    </row>
    <row r="32" spans="1:36" ht="13.5" customHeight="1">
      <c r="A32" s="674"/>
      <c r="B32" s="947"/>
      <c r="C32" s="944"/>
      <c r="D32" s="944"/>
      <c r="E32" s="944"/>
      <c r="F32" s="944"/>
      <c r="G32" s="944"/>
      <c r="H32" s="944"/>
      <c r="I32" s="944"/>
      <c r="J32" s="1196" t="str">
        <f ca="1">IF(NOT(ISBLANK(L32)),"Date:  ","")</f>
        <v xml:space="preserve">Date:  </v>
      </c>
      <c r="K32" s="1060"/>
      <c r="L32" s="955">
        <f ca="1">IF(ISNUMBER(N26),N26,TODAY())</f>
        <v>42187</v>
      </c>
      <c r="M32" s="955"/>
      <c r="N32" s="955"/>
      <c r="O32" s="955"/>
      <c r="P32" s="956"/>
      <c r="Q32" s="956"/>
      <c r="R32" s="1340"/>
      <c r="S32" s="1341"/>
      <c r="T32" s="1341"/>
      <c r="U32" s="1341"/>
      <c r="V32" s="1341"/>
      <c r="W32" s="1341"/>
      <c r="X32" s="1341"/>
      <c r="Y32" s="1341"/>
      <c r="Z32" s="1341"/>
      <c r="AA32" s="408"/>
      <c r="AB32" s="416" t="s">
        <v>298</v>
      </c>
      <c r="AC32" s="416" t="s">
        <v>299</v>
      </c>
      <c r="AD32" s="416" t="s">
        <v>299</v>
      </c>
      <c r="AE32" s="416" t="s">
        <v>300</v>
      </c>
      <c r="AI32" s="632"/>
    </row>
    <row r="33" spans="1:35" ht="10.5" customHeight="1">
      <c r="A33" s="672" t="str">
        <f>(IF(NOT(ISBLANK(C32)),")",""))</f>
        <v/>
      </c>
      <c r="B33" s="1332"/>
      <c r="C33" s="1332"/>
      <c r="D33" s="1332"/>
      <c r="E33" s="1332"/>
      <c r="F33" s="1332"/>
      <c r="G33" s="1332"/>
      <c r="H33" s="1332"/>
      <c r="I33" s="1332"/>
      <c r="J33" s="1332"/>
      <c r="K33" s="1332"/>
      <c r="L33" s="1332"/>
      <c r="M33" s="1332"/>
      <c r="N33" s="1332"/>
      <c r="O33" s="1332"/>
      <c r="P33" s="1332"/>
      <c r="Q33" s="1332"/>
      <c r="R33" s="1341"/>
      <c r="S33" s="1341"/>
      <c r="T33" s="1341"/>
      <c r="U33" s="1341"/>
      <c r="V33" s="1341"/>
      <c r="W33" s="1341"/>
      <c r="X33" s="1341"/>
      <c r="Y33" s="1341"/>
      <c r="Z33" s="1341"/>
      <c r="AA33" s="497"/>
      <c r="AB33" s="417">
        <f t="shared" ref="AB33" si="0">IF(AND(ISBLANK(M18),ISBLANK(S18)),0,1)</f>
        <v>0</v>
      </c>
      <c r="AC33" s="417">
        <f>COUNTIF(P40,"&gt;=12")</f>
        <v>0</v>
      </c>
      <c r="AD33" s="417">
        <f>COUNTIF(P41,"&gt;=12")</f>
        <v>0</v>
      </c>
      <c r="AE33" s="417">
        <f t="shared" ref="AE33:AE38" si="1">IF(OR(AC33=1,AD33=1),1,0)</f>
        <v>0</v>
      </c>
      <c r="AI33" s="987"/>
    </row>
    <row r="34" spans="1:35" ht="26.25" customHeight="1">
      <c r="A34" s="346"/>
      <c r="B34" s="1211" t="str">
        <f>IF(NOT(ISBLANK(T10)),"STATE OF ARIZONA, ex rel., THE DEPARTMENT OF ECONOMIC SECURITY,","")</f>
        <v/>
      </c>
      <c r="C34" s="1212"/>
      <c r="D34" s="1212"/>
      <c r="E34" s="1212"/>
      <c r="F34" s="1212"/>
      <c r="G34" s="1212"/>
      <c r="H34" s="1212"/>
      <c r="I34" s="1212"/>
      <c r="J34" s="1212"/>
      <c r="K34" s="1212"/>
      <c r="L34" s="1152" t="s">
        <v>304</v>
      </c>
      <c r="M34" s="1060"/>
      <c r="N34" s="1024"/>
      <c r="O34" s="903"/>
      <c r="P34" s="1214" t="s">
        <v>27</v>
      </c>
      <c r="Q34" s="1215"/>
      <c r="R34" s="413"/>
      <c r="S34" s="1213" t="str">
        <f>IF(NOT(ISBLANK(F10)),F10,"")</f>
        <v/>
      </c>
      <c r="T34" s="984"/>
      <c r="U34" s="984"/>
      <c r="V34" s="984"/>
      <c r="W34" s="984"/>
      <c r="X34" s="984"/>
      <c r="Y34" s="984"/>
      <c r="Z34" s="412"/>
      <c r="AA34" s="412"/>
      <c r="AB34" s="417">
        <f>IF(AND(ISBLANK(M19),ISBLANK(S19)),0,1)</f>
        <v>0</v>
      </c>
      <c r="AC34" s="417">
        <f>COUNTIF(R40,"&gt;=12")</f>
        <v>0</v>
      </c>
      <c r="AD34" s="417">
        <f>COUNTIF(R41,"&gt;=12")</f>
        <v>0</v>
      </c>
      <c r="AE34" s="417">
        <f t="shared" si="1"/>
        <v>0</v>
      </c>
      <c r="AI34" s="1332"/>
    </row>
    <row r="35" spans="1:35" ht="15" customHeight="1">
      <c r="A35" s="346"/>
      <c r="B35" s="1209" t="str">
        <f>IF(NOT(ISBLANK(Worksheet!T10)),"("&amp;Worksheet!F12&amp;")",IF(NOT(ISBLANK(Worksheet!F12)),Worksheet!F12,""))</f>
        <v/>
      </c>
      <c r="C35" s="1210"/>
      <c r="D35" s="1210"/>
      <c r="E35" s="1210"/>
      <c r="F35" s="1210"/>
      <c r="G35" s="1210"/>
      <c r="H35" s="1210"/>
      <c r="I35" s="1210"/>
      <c r="J35" s="1210"/>
      <c r="K35" s="1210"/>
      <c r="L35" s="1153"/>
      <c r="M35" s="916"/>
      <c r="N35" s="1207" t="s">
        <v>28</v>
      </c>
      <c r="O35" s="1208"/>
      <c r="P35" s="1208"/>
      <c r="Q35" s="1208"/>
      <c r="R35" s="1208"/>
      <c r="S35" s="1208"/>
      <c r="T35" s="1208"/>
      <c r="U35" s="1208"/>
      <c r="V35" s="1208"/>
      <c r="W35" s="1208"/>
      <c r="X35" s="1208"/>
      <c r="Y35" s="1208"/>
      <c r="Z35" s="1208"/>
      <c r="AA35" s="1208"/>
      <c r="AB35" s="417">
        <f>IF(AND(ISBLANK(M20),ISBLANK(S20)),0,1)</f>
        <v>0</v>
      </c>
      <c r="AC35" s="417">
        <f>COUNTIF(T40,"&gt;=12")</f>
        <v>0</v>
      </c>
      <c r="AD35" s="417">
        <f>COUNTIF(T41,"&gt;=12")</f>
        <v>0</v>
      </c>
      <c r="AE35" s="417">
        <f t="shared" si="1"/>
        <v>0</v>
      </c>
      <c r="AI35" s="1332"/>
    </row>
    <row r="36" spans="1:35">
      <c r="A36" s="346"/>
      <c r="B36" s="1339"/>
      <c r="C36" s="1339"/>
      <c r="D36" s="1339"/>
      <c r="E36" s="1339"/>
      <c r="F36" s="1339"/>
      <c r="G36" s="1339"/>
      <c r="H36" s="1339"/>
      <c r="I36" s="1330" t="s">
        <v>26</v>
      </c>
      <c r="J36" s="1330"/>
      <c r="K36" s="1330"/>
      <c r="L36" s="1153"/>
      <c r="M36" s="916"/>
      <c r="N36" s="1208"/>
      <c r="O36" s="1208"/>
      <c r="P36" s="1208"/>
      <c r="Q36" s="1208"/>
      <c r="R36" s="1208"/>
      <c r="S36" s="1208"/>
      <c r="T36" s="1208"/>
      <c r="U36" s="1208"/>
      <c r="V36" s="1208"/>
      <c r="W36" s="1208"/>
      <c r="X36" s="1208"/>
      <c r="Y36" s="1208"/>
      <c r="Z36" s="1208"/>
      <c r="AA36" s="1208"/>
      <c r="AB36" s="417">
        <f>IF(AND(ISBLANK(M21),ISBLANK(S21)),0,1)</f>
        <v>0</v>
      </c>
      <c r="AC36" s="417">
        <f>COUNTIF(V40,"&gt;=12")</f>
        <v>0</v>
      </c>
      <c r="AD36" s="417">
        <f>COUNTIF(V41,"&gt;=12")</f>
        <v>0</v>
      </c>
      <c r="AE36" s="417">
        <f t="shared" si="1"/>
        <v>0</v>
      </c>
      <c r="AI36" s="1332"/>
    </row>
    <row r="37" spans="1:35">
      <c r="A37" s="346"/>
      <c r="B37" s="1178"/>
      <c r="C37" s="1178"/>
      <c r="D37" s="1178"/>
      <c r="E37" s="1178"/>
      <c r="F37" s="1178"/>
      <c r="G37" s="1178"/>
      <c r="H37" s="1178"/>
      <c r="I37" s="1178"/>
      <c r="J37" s="1178"/>
      <c r="K37" s="1178"/>
      <c r="L37" s="1153"/>
      <c r="M37" s="916"/>
      <c r="N37" s="1197" t="s">
        <v>577</v>
      </c>
      <c r="O37" s="1197"/>
      <c r="P37" s="1197"/>
      <c r="Q37" s="1197"/>
      <c r="R37" s="1197"/>
      <c r="S37" s="1197"/>
      <c r="T37" s="1197"/>
      <c r="U37" s="1197"/>
      <c r="V37" s="1197"/>
      <c r="W37" s="1197"/>
      <c r="X37" s="1197"/>
      <c r="Y37" s="1197"/>
      <c r="Z37" s="1197"/>
      <c r="AA37" s="1197"/>
      <c r="AB37" s="417">
        <f>IF(AND(ISBLANK(M22),ISBLANK(S22)),0,1)</f>
        <v>0</v>
      </c>
      <c r="AC37" s="417">
        <f>COUNTIF(X40,"&gt;=12")</f>
        <v>0</v>
      </c>
      <c r="AD37" s="417">
        <f>COUNTIF(X41,"&gt;=12")</f>
        <v>0</v>
      </c>
      <c r="AE37" s="417">
        <f t="shared" si="1"/>
        <v>0</v>
      </c>
      <c r="AI37" s="1332"/>
    </row>
    <row r="38" spans="1:35">
      <c r="A38" s="346"/>
      <c r="B38" s="1092" t="s">
        <v>40</v>
      </c>
      <c r="C38" s="1191"/>
      <c r="D38" s="1191"/>
      <c r="E38" s="1191"/>
      <c r="F38" s="1191"/>
      <c r="G38" s="1191"/>
      <c r="H38" s="1191"/>
      <c r="I38" s="1191"/>
      <c r="J38" s="1191"/>
      <c r="K38" s="1191"/>
      <c r="L38" s="1153"/>
      <c r="M38" s="916"/>
      <c r="N38" s="1203"/>
      <c r="O38" s="1204"/>
      <c r="P38" s="1204"/>
      <c r="Q38" s="1204"/>
      <c r="R38" s="1204"/>
      <c r="S38" s="1204"/>
      <c r="T38" s="1204"/>
      <c r="U38" s="1204"/>
      <c r="V38" s="1204"/>
      <c r="W38" s="1204"/>
      <c r="X38" s="1204"/>
      <c r="Y38" s="1204"/>
      <c r="Z38" s="1204"/>
      <c r="AA38" s="1204"/>
      <c r="AB38" s="418">
        <f>IF(AND(ISBLANK(M23),ISBLANK(S23)),0,1)</f>
        <v>0</v>
      </c>
      <c r="AC38" s="418">
        <f>COUNTIF(Z40,"&gt;=12")</f>
        <v>0</v>
      </c>
      <c r="AD38" s="418">
        <f>COUNTIF(Z41,"&gt;=12")</f>
        <v>0</v>
      </c>
      <c r="AE38" s="418">
        <f t="shared" si="1"/>
        <v>0</v>
      </c>
      <c r="AI38" s="1332"/>
    </row>
    <row r="39" spans="1:35" ht="12.75" customHeight="1">
      <c r="A39" s="346"/>
      <c r="B39" s="1331"/>
      <c r="C39" s="1332"/>
      <c r="D39" s="1332"/>
      <c r="E39" s="1332"/>
      <c r="F39" s="1332"/>
      <c r="G39" s="1332"/>
      <c r="H39" s="1332"/>
      <c r="I39" s="1332"/>
      <c r="J39" s="1332"/>
      <c r="K39" s="1332"/>
      <c r="L39" s="1153"/>
      <c r="M39" s="916"/>
      <c r="N39" s="1205" t="s">
        <v>5</v>
      </c>
      <c r="O39" s="1206"/>
      <c r="P39" s="888" t="str">
        <f>IF(ISBLANK(M18),"",M18)</f>
        <v/>
      </c>
      <c r="Q39" s="889"/>
      <c r="R39" s="888" t="str">
        <f>IF(ISBLANK(M19),"",M19)</f>
        <v/>
      </c>
      <c r="S39" s="889"/>
      <c r="T39" s="888" t="str">
        <f>IF(ISBLANK(M20),"",M20)</f>
        <v/>
      </c>
      <c r="U39" s="889"/>
      <c r="V39" s="888" t="str">
        <f>IF(ISBLANK(M21),"",M21)</f>
        <v/>
      </c>
      <c r="W39" s="889"/>
      <c r="X39" s="888" t="str">
        <f>IF(ISBLANK(M22),"",M22)</f>
        <v/>
      </c>
      <c r="Y39" s="889"/>
      <c r="Z39" s="888" t="str">
        <f>IF(ISBLANK(M23),"",M23)</f>
        <v/>
      </c>
      <c r="AA39" s="889"/>
      <c r="AB39" s="417">
        <f>SUM(AB33:AB38)</f>
        <v>0</v>
      </c>
      <c r="AC39" s="16"/>
      <c r="AD39" s="16"/>
      <c r="AE39" s="417">
        <f>SUM(AE33:AE38)</f>
        <v>0</v>
      </c>
      <c r="AI39" s="1332"/>
    </row>
    <row r="40" spans="1:35" s="16" customFormat="1" ht="7.5" customHeight="1">
      <c r="A40" s="675"/>
      <c r="B40" s="1133" t="str">
        <f>IF(NOT(ISBLANK(F14)),F14,"")</f>
        <v/>
      </c>
      <c r="C40" s="1134"/>
      <c r="D40" s="1134"/>
      <c r="E40" s="1134"/>
      <c r="F40" s="1134"/>
      <c r="G40" s="1134"/>
      <c r="H40" s="1134"/>
      <c r="I40" s="1134"/>
      <c r="J40" s="1134"/>
      <c r="K40" s="1134"/>
      <c r="L40" s="1153"/>
      <c r="M40" s="916"/>
      <c r="N40" s="1333" t="s">
        <v>56</v>
      </c>
      <c r="O40" s="1334"/>
      <c r="P40" s="1064" t="str">
        <f>IF(P39="","",(L32-P39)/365.25)</f>
        <v/>
      </c>
      <c r="Q40" s="1065"/>
      <c r="R40" s="1064" t="str">
        <f>IF(R39="","",(L32-R39)/365.25)</f>
        <v/>
      </c>
      <c r="S40" s="1065"/>
      <c r="T40" s="1064" t="str">
        <f>IF(T39="","",(L32-T39)/365.25)</f>
        <v/>
      </c>
      <c r="U40" s="1065"/>
      <c r="V40" s="1064" t="str">
        <f>IF(V39="","",(L32-V39)/365.25)</f>
        <v/>
      </c>
      <c r="W40" s="1065"/>
      <c r="X40" s="1064" t="str">
        <f>IF(X39="","",(L32-X39)/365.25)</f>
        <v/>
      </c>
      <c r="Y40" s="1065"/>
      <c r="Z40" s="1064" t="str">
        <f>IF(Z39="","",(L32-Z39)/365.25)</f>
        <v/>
      </c>
      <c r="AA40" s="1065"/>
      <c r="AI40" s="1332"/>
    </row>
    <row r="41" spans="1:35" s="16" customFormat="1" ht="12.75" customHeight="1">
      <c r="A41" s="675"/>
      <c r="B41" s="1135"/>
      <c r="C41" s="1135"/>
      <c r="D41" s="1135"/>
      <c r="E41" s="1135"/>
      <c r="F41" s="1135"/>
      <c r="G41" s="1135"/>
      <c r="H41" s="1135"/>
      <c r="I41" s="1135"/>
      <c r="J41" s="1135"/>
      <c r="K41" s="1135"/>
      <c r="L41" s="1153"/>
      <c r="M41" s="916"/>
      <c r="N41" s="1335"/>
      <c r="O41" s="1336"/>
      <c r="P41" s="886" t="str">
        <f>IF(ISBLANK($S18),"",$S18)</f>
        <v/>
      </c>
      <c r="Q41" s="887"/>
      <c r="R41" s="886" t="str">
        <f>IF(ISBLANK($S19),"",$S19)</f>
        <v/>
      </c>
      <c r="S41" s="887"/>
      <c r="T41" s="886" t="str">
        <f>IF(ISBLANK($S20),"",$S20)</f>
        <v/>
      </c>
      <c r="U41" s="887"/>
      <c r="V41" s="886" t="str">
        <f>IF(ISBLANK($S21),"",$S21)</f>
        <v/>
      </c>
      <c r="W41" s="887"/>
      <c r="X41" s="886" t="str">
        <f>IF(ISBLANK($S22),"",$S22)</f>
        <v/>
      </c>
      <c r="Y41" s="887"/>
      <c r="Z41" s="886" t="str">
        <f>IF(ISBLANK($S23),"",$S23)</f>
        <v/>
      </c>
      <c r="AA41" s="887"/>
      <c r="AI41" s="1332"/>
    </row>
    <row r="42" spans="1:35" s="16" customFormat="1" ht="12.75" customHeight="1">
      <c r="A42" s="675"/>
      <c r="B42" s="1337"/>
      <c r="C42" s="1338"/>
      <c r="D42" s="1338"/>
      <c r="E42" s="1338"/>
      <c r="F42" s="1338"/>
      <c r="G42" s="1338"/>
      <c r="H42" s="1338"/>
      <c r="I42" s="1347" t="s">
        <v>25</v>
      </c>
      <c r="J42" s="1348"/>
      <c r="K42" s="1348"/>
      <c r="L42" s="1153"/>
      <c r="M42" s="916"/>
      <c r="N42" s="1349" t="s">
        <v>66</v>
      </c>
      <c r="O42" s="1350"/>
      <c r="P42" s="1350"/>
      <c r="Q42" s="1350"/>
      <c r="R42" s="1350"/>
      <c r="S42" s="1351"/>
      <c r="T42" s="1159" t="str">
        <f ca="1">IF(OR(AND(NOT(ISNUMBER(M18)),NOT(ISNUMBER(M19)),NOT(ISNUMBER(M20)),NOT(ISNUMBER(M21)),NOT(ISNUMBER(M22)),NOT(ISNUMBER(M23))),OR(ISNUMBER(S18),ISNUMBER(S19),ISNUMBER(S20),ISNUMBER(S21),ISNUMBER(S22),ISNUMBER(S23))),"",IF((TODAY()-MAX(M18:M23))/365.25&gt;19,"Over 19",IF(OR(MONTH(L32)=1,MONTH(L32)=2,MONTH(L32)=3,MONTH(L32)=4,MONTH(L32)=5),VLOOKUP(YEAR(L32),PTD!B33:'PTD'!F52,3,FALSE),VLOOKUP(YEAR(L32),PTD!B33:'PTD'!F52,5,FALSE))))</f>
        <v/>
      </c>
      <c r="U42" s="1160"/>
      <c r="V42" s="1142" t="s">
        <v>65</v>
      </c>
      <c r="W42" s="1143"/>
      <c r="X42" s="1143"/>
      <c r="Y42" s="1144"/>
      <c r="Z42" s="1198" t="str">
        <f>IF(ISNUMBER(X24),X24,"")</f>
        <v/>
      </c>
      <c r="AA42" s="1199"/>
      <c r="AI42" s="1332"/>
    </row>
    <row r="43" spans="1:35" s="16" customFormat="1" ht="12.75" customHeight="1">
      <c r="A43" s="675"/>
      <c r="B43" s="1202"/>
      <c r="C43" s="1202"/>
      <c r="D43" s="1202"/>
      <c r="E43" s="1202"/>
      <c r="F43" s="1202"/>
      <c r="G43" s="1202"/>
      <c r="H43" s="1202"/>
      <c r="I43" s="1202"/>
      <c r="J43" s="1202"/>
      <c r="K43" s="1202"/>
      <c r="L43" s="1153"/>
      <c r="M43" s="916"/>
      <c r="N43" s="1161" t="s">
        <v>55</v>
      </c>
      <c r="O43" s="1162"/>
      <c r="P43" s="1163"/>
      <c r="Q43" s="1163"/>
      <c r="R43" s="1163"/>
      <c r="S43" s="1163"/>
      <c r="T43" s="1163"/>
      <c r="U43" s="1163"/>
      <c r="V43" s="1200" t="str">
        <f ca="1">IF(OR(AND(ISBLANK(M18),ISBLANK(M19),ISBLANK(M20),ISBLANK(M21),ISBLANK(M22),ISBLANK(M23)),OR(ISNUMBER(S18),ISNUMBER(S19),ISNUMBER(S20),ISNUMBER(S21),ISNUMBER(S22),ISNUMBER(S23)),T42="Over 19"),"Calculate",IF(AND(MONTH(MAX(M18:M23))=9,DAY(MAX(M18:M23))=1),PTD!C24,IF(AND(ISNUMBER(X24),T42-X24=1),VLOOKUP(MONTH(MAX(M18:M23)),PTD!B11:J22,4,FALSE),IF(AND(ISNUMBER(X24),T42-X24&gt;=2),VLOOKUP(MONTH(MAX(M18:M23)),PTD!B11:J22,6,FALSE),IF(AND(ISNUMBER(X24),T42-X24&lt;0),VLOOKUP(MONTH(MAX(M18:M23)),PTD!B11:J22,8,FALSE),VLOOKUP(MONTH(MAX(M18:M23)),PTD!B11:J22,2,FALSE))))))</f>
        <v>Calculate</v>
      </c>
      <c r="W43" s="1201"/>
      <c r="X43" s="1201"/>
      <c r="Y43" s="1201"/>
      <c r="Z43" s="1073" t="str">
        <f ca="1">IF(OR(AND(ISBLANK(M18),ISBLANK(M19),ISBLANK(M20),ISBLANK(M21),ISBLANK(M22),ISBLANK(M23)),OR(ISNUMBER(S18),ISNUMBER(S19),ISNUMBER(S20),ISNUMBER(S21),ISNUMBER(S22),ISNUMBER(S23)),T42="Grad",T42="Over 19"),"",IF(AND(MONTH(MAX(M18:M23))=9,DAY(MAX(M18:M23))=1),YEAR(MAX(M18:M23))+PTD!D24,IF(AND(ISNUMBER(X24),T42-X24=1),YEAR(MAX(M18:M23))+VLOOKUP(MONTH(MAX(M18:M23)),PTD!B11:'PTD'!J22,5,FALSE),IF(AND(ISNUMBER(X24),T42-X24&gt;=2),YEAR(MAX(M18:M23))+VLOOKUP(MONTH(MAX(M18:M23)),PTD!B11:'PTD'!J22,7,FALSE),IF(AND(ISNUMBER(X24),T42-X24&lt;0),YEAR(MAX(M18:M23))+VLOOKUP(MONTH(MAX(M18:M23)),PTD!B11:'PTD'!J22,9,FALSE),YEAR(MAX(M18:M23))+VLOOKUP(MONTH(MAX(M18:M23)),PTD!B11:'PTD'!J22,3,FALSE))))))</f>
        <v/>
      </c>
      <c r="AA43" s="1074"/>
      <c r="AI43" s="986"/>
    </row>
    <row r="44" spans="1:35" s="16" customFormat="1" ht="16.5" customHeight="1">
      <c r="A44" s="675"/>
      <c r="B44" s="1165" t="str">
        <f>IF(NOT(ISBLANK(N28)),N28,"")</f>
        <v/>
      </c>
      <c r="C44" s="1165"/>
      <c r="D44" s="1165"/>
      <c r="E44" s="1165"/>
      <c r="F44" s="1165"/>
      <c r="G44" s="1165"/>
      <c r="H44" s="1165"/>
      <c r="I44" s="1165"/>
      <c r="J44" s="1165"/>
      <c r="K44" s="1165"/>
      <c r="L44" s="352"/>
      <c r="M44" s="916"/>
      <c r="N44" s="1147" t="s">
        <v>24</v>
      </c>
      <c r="O44" s="1148"/>
      <c r="P44" s="1149"/>
      <c r="Q44" s="1149"/>
      <c r="R44" s="1149"/>
      <c r="S44" s="1149"/>
      <c r="T44" s="1149"/>
      <c r="U44" s="343" t="str">
        <f>IF(AB39=0,"",AB39)</f>
        <v/>
      </c>
      <c r="V44" s="1164" t="str">
        <f>IF(AA44&gt;0,"Children 12 or Over:")</f>
        <v>Children 12 or Over:</v>
      </c>
      <c r="W44" s="1164"/>
      <c r="X44" s="1164"/>
      <c r="Y44" s="1164"/>
      <c r="Z44" s="1164"/>
      <c r="AA44" s="349" t="str">
        <f>IF(AE39=0,"",AE39)</f>
        <v/>
      </c>
      <c r="AB44" s="417" t="s">
        <v>301</v>
      </c>
      <c r="AC44" s="417" t="s">
        <v>301</v>
      </c>
      <c r="AD44" s="417" t="s">
        <v>300</v>
      </c>
      <c r="AI44" s="987"/>
    </row>
    <row r="45" spans="1:35" ht="10.5" customHeight="1">
      <c r="A45" s="346"/>
      <c r="B45" s="1150"/>
      <c r="C45" s="1151"/>
      <c r="D45" s="1151"/>
      <c r="E45" s="1151"/>
      <c r="F45" s="1151"/>
      <c r="G45" s="1151"/>
      <c r="H45" s="1151"/>
      <c r="I45" s="1151"/>
      <c r="J45" s="1151"/>
      <c r="K45" s="1151"/>
      <c r="L45" s="1151"/>
      <c r="M45" s="1151"/>
      <c r="N45" s="1151"/>
      <c r="O45" s="1151"/>
      <c r="P45" s="1151"/>
      <c r="Q45" s="1151"/>
      <c r="R45" s="1151"/>
      <c r="S45" s="1151"/>
      <c r="T45" s="1151"/>
      <c r="U45" s="1151"/>
      <c r="V45" s="1151"/>
      <c r="W45" s="1151"/>
      <c r="X45" s="1151"/>
      <c r="Y45" s="1151"/>
      <c r="Z45" s="1151"/>
      <c r="AA45" s="1151"/>
      <c r="AB45" s="417">
        <f>COUNTIF(P40,"&lt;13")</f>
        <v>0</v>
      </c>
      <c r="AC45" s="417">
        <f>COUNTIF(P41,"&lt;13")</f>
        <v>0</v>
      </c>
      <c r="AD45" s="417">
        <f t="shared" ref="AD45:AD50" si="2">IF(OR(AB45=1,AC45=1),1,0)</f>
        <v>0</v>
      </c>
      <c r="AI45" s="987"/>
    </row>
    <row r="46" spans="1:35" ht="16.5" customHeight="1">
      <c r="A46" s="346"/>
      <c r="B46" s="1155" t="s">
        <v>202</v>
      </c>
      <c r="C46" s="929"/>
      <c r="D46" s="929"/>
      <c r="E46" s="929"/>
      <c r="F46" s="929"/>
      <c r="G46" s="929"/>
      <c r="H46" s="929"/>
      <c r="I46" s="939"/>
      <c r="J46" s="194"/>
      <c r="K46" s="219" t="s">
        <v>6</v>
      </c>
      <c r="L46" s="221"/>
      <c r="M46" s="194"/>
      <c r="N46" s="220" t="s">
        <v>7</v>
      </c>
      <c r="O46" s="221"/>
      <c r="P46" s="194"/>
      <c r="Q46" s="219" t="s">
        <v>8</v>
      </c>
      <c r="R46" s="24"/>
      <c r="S46" s="894" t="str">
        <f>IF(OR(AND(NOT(ISBLANK(J46)),OR(NOT(ISBLANK(M46)),NOT(ISBLANK(P46)))),AND(NOT(ISBLANK(M46)),OR(NOT(ISBLANK(J46)),NOT(ISBLANK(P46)))),AND(NOT(ISBLANK(P46)),OR(NOT(ISBLANK(J46)),NOT(ISBLANK(M46)))),AND(NOT(ISBLANK(J46)),NOT(ISBLANK(M46)),NOT(ISBLANK(P46)))),"Check Only 1!","")</f>
        <v/>
      </c>
      <c r="T46" s="894"/>
      <c r="U46" s="1071" t="s">
        <v>6</v>
      </c>
      <c r="V46" s="1071"/>
      <c r="W46" s="1071"/>
      <c r="X46" s="1072"/>
      <c r="Y46" s="1071" t="s">
        <v>7</v>
      </c>
      <c r="Z46" s="1071"/>
      <c r="AA46" s="1071"/>
      <c r="AB46" s="417">
        <f>COUNTIF(R40,"&lt;13")</f>
        <v>0</v>
      </c>
      <c r="AC46" s="417">
        <f>COUNTIF(R41,"&lt;13")</f>
        <v>0</v>
      </c>
      <c r="AD46" s="417">
        <f t="shared" si="2"/>
        <v>0</v>
      </c>
      <c r="AI46" s="987"/>
    </row>
    <row r="47" spans="1:35" ht="15.75" customHeight="1">
      <c r="A47" s="346"/>
      <c r="B47" s="20"/>
      <c r="C47" s="1188" t="str">
        <f>IF(AND(AND(ISBLANK(J46),ISBLANK(M46),ISBLANK(P46)),OR(ISNUMBER(J48),ISNUMBER(M48),ISNUMBER(P48),ISNUMBER(J49),ISNUMBER(M49),ISNUMBER(P49))),"Who Is Custodian?","")</f>
        <v/>
      </c>
      <c r="D47" s="1189"/>
      <c r="E47" s="1189"/>
      <c r="F47" s="1189"/>
      <c r="G47" s="1189"/>
      <c r="H47" s="18"/>
      <c r="I47" s="18"/>
      <c r="J47" s="1186" t="s">
        <v>32</v>
      </c>
      <c r="K47" s="1186"/>
      <c r="L47" s="1187"/>
      <c r="M47" s="1186" t="s">
        <v>34</v>
      </c>
      <c r="N47" s="1186"/>
      <c r="O47" s="1187"/>
      <c r="P47" s="1186" t="s">
        <v>33</v>
      </c>
      <c r="Q47" s="1186"/>
      <c r="R47" s="1187"/>
      <c r="S47" s="894"/>
      <c r="T47" s="894"/>
      <c r="U47" s="1072"/>
      <c r="V47" s="1072"/>
      <c r="W47" s="1072"/>
      <c r="X47" s="1072"/>
      <c r="Y47" s="1072"/>
      <c r="Z47" s="1072"/>
      <c r="AA47" s="1072"/>
      <c r="AB47" s="417">
        <f>COUNTIF(T40,"&lt;13")</f>
        <v>0</v>
      </c>
      <c r="AC47" s="417">
        <f>COUNTIF(T41,"&lt;13")</f>
        <v>0</v>
      </c>
      <c r="AD47" s="417">
        <f t="shared" si="2"/>
        <v>0</v>
      </c>
      <c r="AI47" s="987"/>
    </row>
    <row r="48" spans="1:35" ht="12" customHeight="1">
      <c r="A48" s="346"/>
      <c r="B48" s="1136" t="s">
        <v>29</v>
      </c>
      <c r="C48" s="1072"/>
      <c r="D48" s="1072"/>
      <c r="E48" s="1072"/>
      <c r="F48" s="1072"/>
      <c r="G48" s="1137"/>
      <c r="H48" s="1141" t="s">
        <v>30</v>
      </c>
      <c r="I48" s="1141"/>
      <c r="J48" s="1145"/>
      <c r="K48" s="1145"/>
      <c r="L48" s="1145"/>
      <c r="M48" s="1145"/>
      <c r="N48" s="1145"/>
      <c r="O48" s="1145"/>
      <c r="P48" s="1145"/>
      <c r="Q48" s="1145"/>
      <c r="R48" s="1145"/>
      <c r="S48" s="1156" t="str">
        <f>IF(OR(NOT(ISBLANK(J48)),NOT(ISBLANK(M48)),NOT(ISBLANK(P48))),"$","")</f>
        <v/>
      </c>
      <c r="T48" s="1157"/>
      <c r="U48" s="1068" t="str">
        <f>IF(NOT(ISBLANK(J48)),J48,IF(NOT(ISBLANK(M48)),M48/12,IF(NOT(ISBLANK(P48)),P48*40*52/12,"")))</f>
        <v/>
      </c>
      <c r="V48" s="1060"/>
      <c r="W48" s="1060"/>
      <c r="X48" s="1146" t="str">
        <f>IF(OR(NOT(ISBLANK(J49)),NOT(ISBLANK(M49)),NOT(ISBLANK(P49))),"$","")</f>
        <v/>
      </c>
      <c r="Y48" s="1068" t="str">
        <f>IF(NOT(ISBLANK(J49)),J49,IF(NOT(ISBLANK(M49)),M49/12,IF(NOT(ISBLANK(P49)),P49*40*52/12,"")))</f>
        <v/>
      </c>
      <c r="Z48" s="1069"/>
      <c r="AA48" s="1069"/>
      <c r="AB48" s="417">
        <f>COUNTIF(V40,"&lt;13")</f>
        <v>0</v>
      </c>
      <c r="AC48" s="417">
        <f>COUNTIF(V41,"&lt;13")</f>
        <v>0</v>
      </c>
      <c r="AD48" s="417">
        <f t="shared" si="2"/>
        <v>0</v>
      </c>
      <c r="AI48" s="987"/>
    </row>
    <row r="49" spans="1:35" ht="12" customHeight="1">
      <c r="A49" s="346"/>
      <c r="B49" s="1072"/>
      <c r="C49" s="1072"/>
      <c r="D49" s="1072"/>
      <c r="E49" s="1072"/>
      <c r="F49" s="1072"/>
      <c r="G49" s="1137"/>
      <c r="H49" s="1141" t="s">
        <v>31</v>
      </c>
      <c r="I49" s="1141"/>
      <c r="J49" s="1138"/>
      <c r="K49" s="1139"/>
      <c r="L49" s="1140"/>
      <c r="M49" s="1145"/>
      <c r="N49" s="1145"/>
      <c r="O49" s="1145"/>
      <c r="P49" s="1145"/>
      <c r="Q49" s="1145"/>
      <c r="R49" s="1145"/>
      <c r="S49" s="1158"/>
      <c r="T49" s="1157"/>
      <c r="U49" s="1154"/>
      <c r="V49" s="1154"/>
      <c r="W49" s="1154"/>
      <c r="X49" s="1146"/>
      <c r="Y49" s="1070"/>
      <c r="Z49" s="1070"/>
      <c r="AA49" s="1070"/>
      <c r="AB49" s="417">
        <f>COUNTIF(X40,"&lt;13")</f>
        <v>0</v>
      </c>
      <c r="AC49" s="417">
        <f>COUNTIF(X41,"&lt;13")</f>
        <v>0</v>
      </c>
      <c r="AD49" s="417">
        <f t="shared" si="2"/>
        <v>0</v>
      </c>
      <c r="AI49" s="987"/>
    </row>
    <row r="50" spans="1:35" ht="18.75" customHeight="1">
      <c r="A50" s="346"/>
      <c r="B50" s="1023"/>
      <c r="C50" s="1023" t="str">
        <f>IF(AND(U50&gt;0,Y50&gt;0),"Court Ordered Spousal Maintenance Received By Father &amp; Mother:",IF(AND(U50&lt;0,Y50&lt;0),"Court Ordered Spousal Maintenance Paid By  Both Father &amp; Mother:",IF(AND(U50&gt;0,Y50&lt;0),"Court Ordered Spousal Maintenance Paid By Mother To Father:",IF(AND(U50&lt;0,Y50&gt;0),"Court Ordered Spousal Maintenance Paid By Father To Mother:","Court Ordered Spousal Maintenance (Paid) / Received:"))))</f>
        <v>Court Ordered Spousal Maintenance (Paid) / Received:</v>
      </c>
      <c r="D50" s="1023"/>
      <c r="E50" s="1023"/>
      <c r="F50" s="1023"/>
      <c r="G50" s="1023"/>
      <c r="H50" s="1023"/>
      <c r="I50" s="1023"/>
      <c r="J50" s="1023"/>
      <c r="K50" s="1023"/>
      <c r="L50" s="1023"/>
      <c r="M50" s="1023"/>
      <c r="N50" s="1023"/>
      <c r="O50" s="1023"/>
      <c r="P50" s="1023"/>
      <c r="Q50" s="1060"/>
      <c r="R50" s="21" t="s">
        <v>36</v>
      </c>
      <c r="S50" s="19"/>
      <c r="T50" s="19"/>
      <c r="U50" s="1175"/>
      <c r="V50" s="1175"/>
      <c r="W50" s="1175"/>
      <c r="X50" s="185" t="str">
        <f>IF(Y50&gt;0,"+","")</f>
        <v/>
      </c>
      <c r="Y50" s="1078"/>
      <c r="Z50" s="1078"/>
      <c r="AA50" s="1078"/>
      <c r="AB50" s="418">
        <f>COUNTIF(Z40,"&lt;13")</f>
        <v>0</v>
      </c>
      <c r="AC50" s="418">
        <f>COUNTIF(Z41,"&lt;13")</f>
        <v>0</v>
      </c>
      <c r="AD50" s="418">
        <f t="shared" si="2"/>
        <v>0</v>
      </c>
      <c r="AE50" s="420" t="s">
        <v>273</v>
      </c>
      <c r="AF50" s="416" t="s">
        <v>302</v>
      </c>
      <c r="AI50" s="633"/>
    </row>
    <row r="51" spans="1:35" ht="18.75" customHeight="1">
      <c r="A51" s="346"/>
      <c r="B51" s="1060"/>
      <c r="C51" s="1023" t="str">
        <f>IF(AND(U51&gt;0,Y51&gt;0),"Court Ordered Child Support of Other Relationships Paid By Both Parents:",IF(U51&gt;0,"Court Ordered Child Support of Other Relationships Paid By Father:",IF(Y51&gt;0,"Court Ordered Child Support of Other Relationships Paid By Mother:","Court Ordered Child Support of Other Relationships (Paid)")))</f>
        <v>Court Ordered Child Support of Other Relationships (Paid)</v>
      </c>
      <c r="D51" s="1075"/>
      <c r="E51" s="1075"/>
      <c r="F51" s="1075"/>
      <c r="G51" s="1075"/>
      <c r="H51" s="1075"/>
      <c r="I51" s="1075"/>
      <c r="J51" s="1075"/>
      <c r="K51" s="1075"/>
      <c r="L51" s="1075"/>
      <c r="M51" s="1075"/>
      <c r="N51" s="1075"/>
      <c r="O51" s="1075"/>
      <c r="P51" s="1075"/>
      <c r="Q51" s="1075"/>
      <c r="R51" s="21" t="s">
        <v>36</v>
      </c>
      <c r="S51" s="19"/>
      <c r="T51" s="19"/>
      <c r="U51" s="1066"/>
      <c r="V51" s="1066"/>
      <c r="W51" s="1066"/>
      <c r="X51" s="1067"/>
      <c r="Y51" s="1066"/>
      <c r="Z51" s="1066"/>
      <c r="AA51" s="1066"/>
      <c r="AD51" s="419">
        <f>SUM(AD45:AD50)</f>
        <v>0</v>
      </c>
      <c r="AE51" s="345">
        <f>I63</f>
        <v>0</v>
      </c>
      <c r="AF51" s="345">
        <f>IF(ISNUMBER(I63),I63,AD51)</f>
        <v>0</v>
      </c>
      <c r="AI51" s="632"/>
    </row>
    <row r="52" spans="1:35" ht="17.25" customHeight="1">
      <c r="A52" s="346"/>
      <c r="B52" s="1060"/>
      <c r="C52" s="18" t="s">
        <v>10</v>
      </c>
      <c r="D52" s="22"/>
      <c r="E52" s="22"/>
      <c r="F52" s="22"/>
      <c r="G52" s="194"/>
      <c r="H52" s="184" t="s">
        <v>9</v>
      </c>
      <c r="I52" s="194"/>
      <c r="J52" s="1076" t="str">
        <f>IF(AND(ISBLANK(G52),ISBLANK(I52)),"Other Child(ren) Subject of Order",IF(G52+I52=1,"Other Child Subject of Order","Other Children Subject of Orders"))</f>
        <v>Other Child(ren) Subject of Order</v>
      </c>
      <c r="K52" s="916"/>
      <c r="L52" s="916"/>
      <c r="M52" s="916"/>
      <c r="N52" s="916"/>
      <c r="O52" s="916"/>
      <c r="P52" s="916"/>
      <c r="Q52" s="916"/>
      <c r="R52" s="21" t="s">
        <v>36</v>
      </c>
      <c r="S52" s="169"/>
      <c r="T52" s="169"/>
      <c r="U52" s="1093" t="str">
        <f>IF(OR(NOT(ISNUMBER(G52)),NOT(ISNUMBER(U48)),U48&lt;750),"",IF(U48-AB53&gt;=AB54-U48,-AD54,IF(U48-AB53&lt;AB54-U48,-AD53)))</f>
        <v/>
      </c>
      <c r="V52" s="998"/>
      <c r="W52" s="998"/>
      <c r="X52" s="1060"/>
      <c r="Y52" s="1093" t="str">
        <f>IF(OR(NOT(ISNUMBER(I52)),NOT(ISNUMBER(Y48)),Y48&lt;750),"",IF(Y48-AE53&gt;=AE54-Y48,-AG54,IF(Y48-AE53&lt;AE54-Y48,-AG53)))</f>
        <v/>
      </c>
      <c r="Z52" s="998"/>
      <c r="AA52" s="998"/>
      <c r="AB52" s="868" t="s">
        <v>23</v>
      </c>
      <c r="AC52" s="868" t="s">
        <v>22</v>
      </c>
      <c r="AD52" s="868" t="s">
        <v>424</v>
      </c>
      <c r="AE52" s="868" t="s">
        <v>23</v>
      </c>
      <c r="AF52" s="868" t="s">
        <v>22</v>
      </c>
      <c r="AG52" s="869" t="s">
        <v>424</v>
      </c>
      <c r="AH52" s="862"/>
      <c r="AI52" s="632"/>
    </row>
    <row r="53" spans="1:35" ht="15.75" customHeight="1">
      <c r="A53" s="346"/>
      <c r="B53" s="1060"/>
      <c r="C53" s="1023" t="s">
        <v>57</v>
      </c>
      <c r="D53" s="916"/>
      <c r="E53" s="916"/>
      <c r="F53" s="916"/>
      <c r="G53" s="916"/>
      <c r="H53" s="916"/>
      <c r="I53" s="916"/>
      <c r="J53" s="916"/>
      <c r="K53" s="916"/>
      <c r="L53" s="916"/>
      <c r="M53" s="916"/>
      <c r="N53" s="916"/>
      <c r="O53" s="916"/>
      <c r="P53" s="916"/>
      <c r="Q53" s="21" t="s">
        <v>15</v>
      </c>
      <c r="R53" s="169"/>
      <c r="S53" s="169"/>
      <c r="T53" s="169"/>
      <c r="U53" s="1166"/>
      <c r="V53" s="1166"/>
      <c r="W53" s="1166"/>
      <c r="X53" s="1060"/>
      <c r="Y53" s="1091"/>
      <c r="Z53" s="1091"/>
      <c r="AA53" s="1091"/>
      <c r="AB53" s="867">
        <f>IF(U48&gt;=20000,20000,FLOOR(U48,50))</f>
        <v>20000</v>
      </c>
      <c r="AC53" s="867" t="str">
        <f>IF(G52=1,VLOOKUP(AB53,'2015 Schedule'!A4:G389,2,FALSE),IF(G52=2,VLOOKUP(AB53,'2015 Schedule'!A4:G389,3,FALSE),IF(G52=3,VLOOKUP(AB53,'2015 Schedule'!A4:G389,4,FALSE),IF(G52=4,VLOOKUP(AB53,'2015 Schedule'!A4:G389,5,FALSE),IF(G52=5,VLOOKUP(AB53,'2015 Schedule'!A4:G389,6,FALSE),IF(G52&gt;=6,VLOOKUP(AB53,'2015 Schedule'!A4:G389,7,FALSE),""))))))</f>
        <v/>
      </c>
      <c r="AD53" s="870" t="str">
        <f>IF(NOT(ISNUMBER(AC53)),"",ROUND(AC53,0))</f>
        <v/>
      </c>
      <c r="AE53" s="867">
        <f>IF(Y48&gt;=20000,20000,FLOOR(Y48,50))</f>
        <v>20000</v>
      </c>
      <c r="AF53" s="867" t="str">
        <f>IF(I52=1,VLOOKUP(AE53,'2015 Schedule'!A4:G389,2,FALSE),IF(I52=2,VLOOKUP(AE53,'2015 Schedule'!A4:G389,3,FALSE),IF(I52=3,VLOOKUP(AE53,'2015 Schedule'!A4:G389,4,FALSE),IF(I52=4,VLOOKUP(AE53,'2015 Schedule'!A4:G389,5,FALSE),IF(I52=5,VLOOKUP(AE53,'2015 Schedule'!A4:G389,6,FALSE),IF(I52&gt;=6,VLOOKUP(AE53,'2015 Schedule'!A4:G389,7,FALSE),""))))))</f>
        <v/>
      </c>
      <c r="AG53" s="871" t="str">
        <f>IF(NOT(ISNUMBER(AF53)),"",ROUND(AF53,0))</f>
        <v/>
      </c>
      <c r="AH53" s="870"/>
      <c r="AI53" s="632"/>
    </row>
    <row r="54" spans="1:35" ht="15" customHeight="1">
      <c r="A54" s="346"/>
      <c r="B54" s="1060"/>
      <c r="C54" s="1190" t="s">
        <v>297</v>
      </c>
      <c r="D54" s="1060"/>
      <c r="E54" s="1172"/>
      <c r="F54" s="916"/>
      <c r="G54" s="433"/>
      <c r="H54" s="1191" t="str">
        <f>IF(G54=1," Other Child Deduction Of:",IF(G54&gt;=2," Other Children Deduction Of:"," Other Child[ren] Deduction Of:"))</f>
        <v xml:space="preserve"> Other Child[ren] Deduction Of:</v>
      </c>
      <c r="I54" s="916"/>
      <c r="J54" s="916"/>
      <c r="K54" s="916"/>
      <c r="L54" s="916"/>
      <c r="M54" s="916"/>
      <c r="N54" s="916"/>
      <c r="O54" s="1184"/>
      <c r="P54" s="1192"/>
      <c r="Q54" s="1192"/>
      <c r="R54" s="23"/>
      <c r="S54" s="23"/>
      <c r="T54" s="23"/>
      <c r="U54" s="1077" t="str">
        <f>IF(OR(NOT(ISNUMBER(G54)),NOT(ISNUMBER(U48)),U48&lt;750),"",IF(ISNUMBER(O54),-O54,IF(U48-AB55&gt;=AB56-U48,-AD56,IF(U48-AB55&lt;AB56-U48,-AD55))))</f>
        <v/>
      </c>
      <c r="V54" s="1077"/>
      <c r="W54" s="1077"/>
      <c r="X54" s="1060"/>
      <c r="Y54" s="1092"/>
      <c r="Z54" s="1092"/>
      <c r="AA54" s="1092"/>
      <c r="AB54" s="865">
        <f>IF(U48&gt;=20000,20000,AB53+50)</f>
        <v>20000</v>
      </c>
      <c r="AC54" s="865" t="str">
        <f>IF(G52=1,VLOOKUP(AB54,'2015 Schedule'!A4:G389,2,FALSE),IF(G52=2,VLOOKUP(AB54,'2015 Schedule'!A4:G389,3,FALSE),IF(G52=3,VLOOKUP(AB54,'2015 Schedule'!A4:G389,4,FALSE),IF(G52=4,VLOOKUP(AB54,'2015 Schedule'!A4:G389,5,FALSE),IF(G52=5,VLOOKUP(AB54,'2015 Schedule'!A4:G389,6,FALSE),IF(G52&gt;=6,VLOOKUP(AB54,'2015 Schedule'!A4:G389,7,FALSE),""))))))</f>
        <v/>
      </c>
      <c r="AD54" s="866" t="str">
        <f t="shared" ref="AD54:AD56" si="3">IF(NOT(ISNUMBER(AC54)),"",ROUND(AC54,0))</f>
        <v/>
      </c>
      <c r="AE54" s="865">
        <f>IF(Y48&gt;=20000,20000,AE53+50)</f>
        <v>20000</v>
      </c>
      <c r="AF54" s="865" t="str">
        <f>IF(I52=1,VLOOKUP(AE54,'2015 Schedule'!A4:G389,2,FALSE),IF(I52=2,VLOOKUP(AE54,'2015 Schedule'!A4:G389,3,FALSE),IF(I52=3,VLOOKUP(AE54,'2015 Schedule'!A4:G389,4,FALSE),IF(I52=4,VLOOKUP(AE54,'2015 Schedule'!A4:G389,5,FALSE),IF(I52=5,VLOOKUP(AE54,'2015 Schedule'!A4:G389,6,FALSE),IF(I52&gt;=6,VLOOKUP(AE54,'2015 Schedule'!A4:G389,7,FALSE),""))))))</f>
        <v/>
      </c>
      <c r="AG54" s="872" t="str">
        <f>IF(NOT(ISNUMBER(AF54)),"",ROUND(AF54,0))</f>
        <v/>
      </c>
      <c r="AH54" s="870"/>
      <c r="AI54" s="632"/>
    </row>
    <row r="55" spans="1:35" ht="15.75" customHeight="1">
      <c r="A55" s="346"/>
      <c r="B55" s="1060"/>
      <c r="C55" s="1190" t="s">
        <v>296</v>
      </c>
      <c r="D55" s="1060"/>
      <c r="E55" s="1172"/>
      <c r="F55" s="916"/>
      <c r="G55" s="434"/>
      <c r="H55" s="1191" t="str">
        <f>IF(G55=1," Other Child Deduction Of:",IF(G55&gt;=2," Other Children Deduction Of:"," Other Child[ren] Deduction Of:"))</f>
        <v xml:space="preserve"> Other Child[ren] Deduction Of:</v>
      </c>
      <c r="I55" s="916"/>
      <c r="J55" s="916"/>
      <c r="K55" s="916"/>
      <c r="L55" s="916"/>
      <c r="M55" s="916"/>
      <c r="N55" s="916"/>
      <c r="O55" s="1184"/>
      <c r="P55" s="1185"/>
      <c r="Q55" s="1185"/>
      <c r="R55" s="23"/>
      <c r="S55" s="23"/>
      <c r="T55" s="23"/>
      <c r="U55" s="1091"/>
      <c r="V55" s="1091"/>
      <c r="W55" s="1091"/>
      <c r="X55" s="1060"/>
      <c r="Y55" s="1077" t="str">
        <f>IF(OR(NOT(ISNUMBER(G55)),NOT(ISNUMBER(Y48)),Y48&lt;750),"",IF(ISNUMBER(O55),-O55,IF(Y48-AE55&gt;=AE56-Y48,-AG56,IF(Y48-AE55&lt;AE56-Y48,-AG55))))</f>
        <v/>
      </c>
      <c r="Z55" s="1077"/>
      <c r="AA55" s="1077"/>
      <c r="AB55" s="874">
        <f>IF(U48&gt;=20000,20000,FLOOR(U48,50))</f>
        <v>20000</v>
      </c>
      <c r="AC55" s="874" t="str">
        <f>IF(G54=1,VLOOKUP(AB55,'2015 Schedule'!A4:G389,2,FALSE),IF(G54=2,VLOOKUP(AB55,'2015 Schedule'!A4:G389,3,FALSE),IF(G54=3,VLOOKUP(AB55,'2015 Schedule'!A4:G389,4,FALSE),IF(G54=4,VLOOKUP(AB55,'2015 Schedule'!A4:G389,5,FALSE),IF(G54=5,VLOOKUP(AB55,'2015 Schedule'!A4:G389,6,FALSE),IF(G54&gt;=6,VLOOKUP(AB55,'2015 Schedule'!A4:G389,7,FALSE),""))))))</f>
        <v/>
      </c>
      <c r="AD55" s="875" t="str">
        <f t="shared" si="3"/>
        <v/>
      </c>
      <c r="AE55" s="874">
        <f>IF(Y48&gt;=20000,20000,FLOOR(Y48,50))</f>
        <v>20000</v>
      </c>
      <c r="AF55" s="874" t="str">
        <f>IF(G55=1,VLOOKUP(AE55,'2015 Schedule'!A4:G389,2,FALSE),IF(G55=2,VLOOKUP(AE55,'2015 Schedule'!A4:G389,3,FALSE),IF(G55=3,VLOOKUP(AE55,'2015 Schedule'!A4:G389,4,FALSE),IF(G55=4,VLOOKUP(AE55,'2015 Schedule'!A4:G389,5,FALSE),IF(G55=5,VLOOKUP(AE55,'2015 Schedule'!A4:G389,6,FALSE),IF(G55&gt;=6,VLOOKUP(AE55,'2015 Schedule'!A4:G389,7,FALSE),""))))))</f>
        <v/>
      </c>
      <c r="AG55" s="876" t="str">
        <f t="shared" ref="AG55:AG56" si="4">IF(NOT(ISNUMBER(AF55)),"",ROUND(AF55,0))</f>
        <v/>
      </c>
      <c r="AH55" s="877" t="str">
        <f>IF(OR(NOT(ISNUMBER(G54)),NOT(ISNUMBER(U48)),U48&lt;750),"",IF(U48-AB55&gt;=AB56-U48,-AD56,IF(U48-AB55&lt;AB56-U48,-AD55)))</f>
        <v/>
      </c>
      <c r="AI55" s="346"/>
    </row>
    <row r="56" spans="1:35" ht="21.95" customHeight="1">
      <c r="A56" s="346"/>
      <c r="B56" s="1022" t="s">
        <v>11</v>
      </c>
      <c r="C56" s="1060"/>
      <c r="D56" s="1060"/>
      <c r="E56" s="1060"/>
      <c r="F56" s="1060"/>
      <c r="G56" s="1060"/>
      <c r="H56" s="410"/>
      <c r="I56" s="1105"/>
      <c r="J56" s="1105"/>
      <c r="K56" s="1105"/>
      <c r="L56" s="1105"/>
      <c r="M56" s="1105"/>
      <c r="N56" s="1105"/>
      <c r="O56" s="1105"/>
      <c r="P56" s="1105"/>
      <c r="Q56" s="1105"/>
      <c r="R56" s="1105"/>
      <c r="S56" s="1105"/>
      <c r="T56" s="411" t="str">
        <f>IF(NOT(ISNUMBER(U48)),"","$")</f>
        <v/>
      </c>
      <c r="U56" s="1106" t="str">
        <f>IF(NOT(ISNUMBER(U48)),"",SUM(U48:U50)-ABS(U51)+SUM(U52:U54))</f>
        <v/>
      </c>
      <c r="V56" s="1106"/>
      <c r="W56" s="1106"/>
      <c r="X56" s="411" t="str">
        <f>IF(NOT(ISNUMBER(Y48)),"","$")</f>
        <v/>
      </c>
      <c r="Y56" s="1107" t="str">
        <f>IF(NOT(ISNUMBER(Y48)),"",SUM(Y48:Y50)-ABS(Y51)+SUM(Y52:Y55))</f>
        <v/>
      </c>
      <c r="Z56" s="1107"/>
      <c r="AA56" s="1107"/>
      <c r="AB56" s="865">
        <f>IF(U48&gt;=20000,20000,AB55+50)</f>
        <v>20000</v>
      </c>
      <c r="AC56" s="865" t="str">
        <f>IF(G54=1,VLOOKUP(AB56,'2015 Schedule'!A4:G389,2,FALSE),IF(G54=2,VLOOKUP(AB56,'2015 Schedule'!A4:G389,3,FALSE),IF(G54=3,VLOOKUP(AB56,'2015 Schedule'!A4:G389,4,FALSE),IF(G54=4,VLOOKUP(AB56,'2015 Schedule'!A4:G389,5,FALSE),IF(G54=5,VLOOKUP(AB56,'2015 Schedule'!A4:G389,6,FALSE),IF(G54&gt;=6,VLOOKUP(AB56,'2015 Schedule'!A4:G389,7,FALSE),""))))))</f>
        <v/>
      </c>
      <c r="AD56" s="866" t="str">
        <f t="shared" si="3"/>
        <v/>
      </c>
      <c r="AE56" s="865">
        <f>IF(Y48&gt;=20000,20000,AE55+50)</f>
        <v>20000</v>
      </c>
      <c r="AF56" s="865" t="str">
        <f>IF(G55=1,VLOOKUP(AE56,'2015 Schedule'!A4:G389,2,FALSE),IF(G55=2,VLOOKUP(AE56,'2015 Schedule'!A4:G389,3,FALSE),IF(G55=3,VLOOKUP(AE56,'2015 Schedule'!A4:G389,4,FALSE),IF(G55=4,VLOOKUP(AE56,'2015 Schedule'!A4:G389,5,FALSE),IF(G55=5,VLOOKUP(AE56,'2015 Schedule'!A4:G389,6,FALSE),IF(G55&gt;=6,VLOOKUP(AE56,'2015 Schedule'!A4:G389,7,FALSE),""))))))</f>
        <v/>
      </c>
      <c r="AG56" s="872" t="str">
        <f t="shared" si="4"/>
        <v/>
      </c>
      <c r="AH56" s="877" t="str">
        <f>IF(OR(NOT(ISNUMBER(G55)),NOT(ISNUMBER(Y48)),Y48&lt;750),"",IF(Y48-AE55&gt;=AE56-Y48,-AG56,IF(Y48-AE55&lt;AE56-Y48,-AG55)))</f>
        <v/>
      </c>
      <c r="AI56" s="346"/>
    </row>
    <row r="57" spans="1:35" ht="21.95" customHeight="1" thickBot="1">
      <c r="A57" s="346"/>
      <c r="B57" s="409"/>
      <c r="C57" s="1023" t="s">
        <v>12</v>
      </c>
      <c r="D57" s="1060"/>
      <c r="E57" s="1060"/>
      <c r="F57" s="1060"/>
      <c r="G57" s="1060"/>
      <c r="H57" s="1060"/>
      <c r="I57" s="1060"/>
      <c r="J57" s="1060"/>
      <c r="K57" s="1060"/>
      <c r="L57" s="1060"/>
      <c r="M57" s="1060"/>
      <c r="N57" s="1060"/>
      <c r="O57" s="1060"/>
      <c r="P57" s="1060"/>
      <c r="Q57" s="1060"/>
      <c r="R57" s="1060"/>
      <c r="S57" s="1060"/>
      <c r="T57" s="1060"/>
      <c r="U57" s="1060"/>
      <c r="V57" s="411" t="str">
        <f>IF(OR(NOT(ISNUMBER(U48)),NOT(ISNUMBER(Y48))),"","$")</f>
        <v/>
      </c>
      <c r="W57" s="1168" t="str">
        <f>IF(OR(NOT(ISNUMBER(U48)),NOT(ISNUMBER(Y48))),"",U56+Y56)</f>
        <v/>
      </c>
      <c r="X57" s="1168"/>
      <c r="Y57" s="1168"/>
      <c r="Z57" s="1166"/>
      <c r="AA57" s="1166"/>
      <c r="AB57" s="862" t="s">
        <v>23</v>
      </c>
      <c r="AC57" s="862" t="s">
        <v>22</v>
      </c>
      <c r="AD57" s="863" t="s">
        <v>424</v>
      </c>
      <c r="AI57" s="630"/>
    </row>
    <row r="58" spans="1:35" ht="21.95" customHeight="1" thickTop="1">
      <c r="A58" s="346"/>
      <c r="B58" s="1022" t="str">
        <f>IF(U44=1,"Basic Child Support Obligation For 1 Child:",IF(U44&gt;1,"Basic Child Support Obligation For " &amp;TEXT(U44,"0")&amp;" Children:","Basic Child Support Obligation For ___ Child(ren):"))</f>
        <v>Basic Child Support Obligation For  Children:</v>
      </c>
      <c r="C58" s="916"/>
      <c r="D58" s="916"/>
      <c r="E58" s="916"/>
      <c r="F58" s="916"/>
      <c r="G58" s="916"/>
      <c r="H58" s="916"/>
      <c r="I58" s="916"/>
      <c r="J58" s="916"/>
      <c r="K58" s="916"/>
      <c r="L58" s="916"/>
      <c r="M58" s="916"/>
      <c r="N58" s="916"/>
      <c r="O58" s="916"/>
      <c r="P58" s="916"/>
      <c r="Q58" s="916"/>
      <c r="R58" s="916"/>
      <c r="S58" s="916"/>
      <c r="T58" s="916"/>
      <c r="U58" s="916"/>
      <c r="V58" s="411" t="str">
        <f>IF(OR(NOT(ISNUMBER(W57)),NOT(ISNUMBER(AC58)),NOT(ISNUMBER(U44))),"","$")</f>
        <v/>
      </c>
      <c r="W58" s="1176" t="str">
        <f>IF(W57&lt;750,0,IF(OR(NOT(ISNUMBER(W57)),NOT(ISNUMBER(AD58)),NOT(ISNUMBER(U44))),"",IF(W57-AB58&gt;AB59-W57,AD59,IF(W57-AB58&lt;AB59-W57,AD58,AD59))))</f>
        <v/>
      </c>
      <c r="X58" s="1177"/>
      <c r="Y58" s="1177"/>
      <c r="Z58" s="1060"/>
      <c r="AA58" s="1060"/>
      <c r="AB58" s="861" t="str">
        <f>IF(OR(NOT(ISNUMBER(U48)),NOT(ISNUMBER(Y48))),"",IF(W57&lt;750,W57,IF(W57&gt;=20000,20000,FLOOR(W57,50))))</f>
        <v/>
      </c>
      <c r="AC58" s="861" t="str">
        <f>IF(OR(OR(NOT(ISNUMBER(U48)),NOT(ISNUMBER(Y48))),AB58&lt;750,NOT(ISNUMBER(U44))),"",IF(U44=1,VLOOKUP(AB58,'2015 Schedule'!A4:G389,2,FALSE),IF(U44=2,VLOOKUP(AB58,'2015 Schedule'!A4:G389,3,FALSE),IF(U44=3,VLOOKUP(AB58,'2015 Schedule'!A4:G389,4,FALSE),IF(U44=4,VLOOKUP(AB58,'2015 Schedule'!A4:G389,5,FALSE),IF(U44=5,VLOOKUP(AB58,'2015 Schedule'!A4:G389,6,FALSE),IF(U44&gt;=6,VLOOKUP(AB58,'2015 Schedule'!A4:G389,7,FALSE),"")))))))</f>
        <v/>
      </c>
      <c r="AD58" s="861" t="e">
        <f>ROUND(AC58,0)</f>
        <v>#VALUE!</v>
      </c>
      <c r="AG58" s="651"/>
      <c r="AH58" s="651"/>
      <c r="AI58" s="859"/>
    </row>
    <row r="59" spans="1:35" ht="21.95" customHeight="1">
      <c r="A59" s="346"/>
      <c r="B59" s="1022" t="s">
        <v>38</v>
      </c>
      <c r="C59" s="916"/>
      <c r="D59" s="916"/>
      <c r="E59" s="916"/>
      <c r="F59" s="916"/>
      <c r="G59" s="916"/>
      <c r="H59" s="916"/>
      <c r="I59" s="916"/>
      <c r="J59" s="916"/>
      <c r="K59" s="916"/>
      <c r="L59" s="916"/>
      <c r="M59" s="916"/>
      <c r="N59" s="916"/>
      <c r="O59" s="916"/>
      <c r="P59" s="916"/>
      <c r="Q59" s="916"/>
      <c r="R59" s="916"/>
      <c r="S59" s="916"/>
      <c r="T59" s="916"/>
      <c r="U59" s="339"/>
      <c r="V59" s="339"/>
      <c r="W59" s="1169" t="str">
        <f>IF(OR(NOT(ISNUMBER(W58)),NOT(ISNUMBER(G61))),"",IF(G61&gt;U44,"Too Many",IF(N61&gt;10,"Above 10%",G61/U44*N61/100*W58)))</f>
        <v/>
      </c>
      <c r="X59" s="1170"/>
      <c r="Y59" s="1170"/>
      <c r="Z59" s="1060"/>
      <c r="AA59" s="1060"/>
      <c r="AB59" s="861" t="str">
        <f>IF(OR(NOT(ISNUMBER(U48)),NOT(ISNUMBER(Y48))),"",IF(AND(W57&gt;700,W57&lt;750),750,IF(W57&gt;=20000,20000,AB58+50)))</f>
        <v/>
      </c>
      <c r="AC59" s="861" t="str">
        <f>IF(OR(OR(NOT(ISNUMBER(U48)),NOT(ISNUMBER(Y48))),AB59&lt;650,NOT(ISNUMBER(U44))),"",IF(U44=1,VLOOKUP(AB59,'2015 Schedule'!A4:G389,2,FALSE),IF(U44=2,VLOOKUP(AB59,'2015 Schedule'!A4:G389,3,FALSE),IF(U44=3,VLOOKUP(AB59,'2015 Schedule'!A4:G389,4,FALSE),IF(U44=4,VLOOKUP(AB59,'2015 Schedule'!A4:G389,5,FALSE),IF(U44=5,VLOOKUP(AB59,'2015 Schedule'!A4:G389,6,FALSE),IF(U44&gt;=6,VLOOKUP(AB59,'2015 Schedule'!A4:G389,7,FALSE),"")))))))</f>
        <v/>
      </c>
      <c r="AD59" s="861" t="e">
        <f>ROUND(AC59,0)</f>
        <v>#VALUE!</v>
      </c>
      <c r="AI59" s="630"/>
    </row>
    <row r="60" spans="1:35" ht="6" customHeight="1">
      <c r="A60" s="346"/>
      <c r="B60" s="1023"/>
      <c r="C60" s="18"/>
      <c r="D60" s="22"/>
      <c r="E60" s="22"/>
      <c r="F60" s="204" t="str">
        <f>IF(ISNUMBER(G60),".","")</f>
        <v/>
      </c>
      <c r="G60" s="205"/>
      <c r="H60" s="18"/>
      <c r="I60" s="18"/>
      <c r="J60" s="18"/>
      <c r="K60" s="18"/>
      <c r="L60" s="18"/>
      <c r="M60" s="204" t="str">
        <f>IF(ISNUMBER(N60),".","")</f>
        <v/>
      </c>
      <c r="N60" s="1109"/>
      <c r="O60" s="1110"/>
      <c r="P60" s="1023" t="s">
        <v>14</v>
      </c>
      <c r="Q60" s="1083" t="s">
        <v>15</v>
      </c>
      <c r="R60" s="1084"/>
      <c r="S60" s="1084"/>
      <c r="T60" s="1084"/>
      <c r="U60" s="1060"/>
      <c r="V60" s="1060"/>
      <c r="W60" s="1024"/>
      <c r="X60" s="1024"/>
      <c r="Y60" s="1024"/>
      <c r="Z60" s="1060"/>
      <c r="AA60" s="1060"/>
      <c r="AI60" s="630"/>
    </row>
    <row r="61" spans="1:35" ht="12" customHeight="1">
      <c r="A61" s="346"/>
      <c r="B61" s="1023"/>
      <c r="C61" s="1023" t="s">
        <v>13</v>
      </c>
      <c r="D61" s="1060"/>
      <c r="E61" s="1060"/>
      <c r="F61" s="1172"/>
      <c r="G61" s="203" t="str">
        <f>IF(NOT(ISNUMBER(U44)),"",IF(ISNUMBER(G60),G60,IF(NOT(ISNUMBER(AA44)),0,AA44)))</f>
        <v/>
      </c>
      <c r="H61" s="1286" t="str">
        <f>IF(OR(G61=1,G60=1),"Child Over Age 12 at","Children Over Age 12 at")</f>
        <v>Children Over Age 12 at</v>
      </c>
      <c r="I61" s="1288"/>
      <c r="J61" s="1288"/>
      <c r="K61" s="1288"/>
      <c r="L61" s="1288"/>
      <c r="M61" s="1287"/>
      <c r="N61" s="1081">
        <f>IF(ISBLANK(N60),10,N60)</f>
        <v>10</v>
      </c>
      <c r="O61" s="1082"/>
      <c r="P61" s="1023"/>
      <c r="Q61" s="1084"/>
      <c r="R61" s="1084"/>
      <c r="S61" s="1084"/>
      <c r="T61" s="1084"/>
      <c r="U61" s="1060"/>
      <c r="V61" s="1060"/>
      <c r="W61" s="1171"/>
      <c r="X61" s="1171"/>
      <c r="Y61" s="1171"/>
      <c r="Z61" s="1060"/>
      <c r="AA61" s="1060"/>
      <c r="AI61" s="630"/>
    </row>
    <row r="62" spans="1:35" ht="20.25" customHeight="1">
      <c r="A62" s="346"/>
      <c r="B62" s="1060"/>
      <c r="C62" s="1023" t="str">
        <f>IF(AND(U62&gt;0,Y62&gt;0),"Medical, Dental and Vision Insurance Paid By Father&amp;By Mother:",IF(U62&gt;0,"Medical, Dental and Vision Insurance Paid By Father:",IF(Y62&gt;0,"Medical, Dental and Vision Insurance Paid By Mother:","Medical, Dental and Vision Insurance Paid By:")))</f>
        <v>Medical, Dental and Vision Insurance Paid By:</v>
      </c>
      <c r="D62" s="1023"/>
      <c r="E62" s="1023"/>
      <c r="F62" s="1023"/>
      <c r="G62" s="1023"/>
      <c r="H62" s="1023"/>
      <c r="I62" s="1023"/>
      <c r="J62" s="1023"/>
      <c r="K62" s="1024"/>
      <c r="L62" s="1024"/>
      <c r="M62" s="1024"/>
      <c r="N62" s="1024"/>
      <c r="O62" s="1024"/>
      <c r="P62" s="1024"/>
      <c r="Q62" s="1061" t="s">
        <v>36</v>
      </c>
      <c r="R62" s="1062"/>
      <c r="S62" s="1062"/>
      <c r="T62" s="1062"/>
      <c r="U62" s="1108"/>
      <c r="V62" s="1108"/>
      <c r="W62" s="1108"/>
      <c r="X62" s="1181"/>
      <c r="Y62" s="1108"/>
      <c r="Z62" s="1108"/>
      <c r="AA62" s="1108"/>
      <c r="AI62" s="630"/>
    </row>
    <row r="63" spans="1:35" ht="6" customHeight="1">
      <c r="A63" s="346"/>
      <c r="B63" s="1060"/>
      <c r="C63" s="358"/>
      <c r="D63" s="358"/>
      <c r="E63" s="358"/>
      <c r="F63" s="358"/>
      <c r="G63" s="346"/>
      <c r="H63" s="359" t="str">
        <f>IF(ISNUMBER(I63),".","")</f>
        <v/>
      </c>
      <c r="I63" s="206"/>
      <c r="J63" s="346"/>
      <c r="K63" s="347"/>
      <c r="L63" s="346"/>
      <c r="M63" s="346"/>
      <c r="N63" s="358"/>
      <c r="O63" s="358"/>
      <c r="P63" s="360"/>
      <c r="Q63" s="1289" t="s">
        <v>281</v>
      </c>
      <c r="R63" s="896"/>
      <c r="S63" s="896"/>
      <c r="T63" s="896"/>
      <c r="U63" s="1079"/>
      <c r="V63" s="1080"/>
      <c r="W63" s="1080"/>
      <c r="X63" s="1182"/>
      <c r="Y63" s="1079"/>
      <c r="Z63" s="1080"/>
      <c r="AA63" s="1080"/>
      <c r="AI63" s="630"/>
    </row>
    <row r="64" spans="1:35" ht="15.75" customHeight="1">
      <c r="A64" s="346"/>
      <c r="B64" s="1060"/>
      <c r="C64" s="1290" t="s">
        <v>280</v>
      </c>
      <c r="D64" s="945"/>
      <c r="E64" s="945"/>
      <c r="F64" s="945"/>
      <c r="G64" s="945"/>
      <c r="H64" s="945"/>
      <c r="I64" s="357" t="str">
        <f>IF(AND(ISBLANK(I63),AF51=0),"",IF(ISBLANK(I63),AF51,I63))</f>
        <v/>
      </c>
      <c r="J64" s="1178" t="str">
        <f>IF(AND(AF51&gt;1,U64&gt;0,Y64&gt;0),"Children Paid By Both Parents:",IF(AND(AF51=1,U64&gt;0,Y64&gt;0),"Child Paid By Both Parents:",IF(AND(AF51=1,U64&gt;0),"Child Paid By Father:",IF(AND(AF51=1,Y64&gt;0),"Child Paid By Mother:",IF(AND(AF51&gt;1,U64&gt;0),"Children Paid By Father:",IF(AND(AF51&gt;1,Y64&gt;0),"Children Paid By Mother:","Child(ren) Paid By:"))))))</f>
        <v>Child(ren) Paid By:</v>
      </c>
      <c r="K64" s="916"/>
      <c r="L64" s="916"/>
      <c r="M64" s="916"/>
      <c r="N64" s="916"/>
      <c r="O64" s="916"/>
      <c r="P64" s="916"/>
      <c r="Q64" s="896"/>
      <c r="R64" s="896"/>
      <c r="S64" s="896"/>
      <c r="T64" s="896"/>
      <c r="U64" s="1291"/>
      <c r="V64" s="1292"/>
      <c r="W64" s="1292"/>
      <c r="X64" s="1182"/>
      <c r="Y64" s="1179"/>
      <c r="Z64" s="1180"/>
      <c r="AA64" s="1180"/>
      <c r="AC64" s="873"/>
      <c r="AD64" s="864"/>
      <c r="AE64" s="864"/>
      <c r="AF64" s="864"/>
      <c r="AG64" s="864"/>
      <c r="AH64" s="864"/>
      <c r="AI64" s="630"/>
    </row>
    <row r="65" spans="1:35" ht="15.75" customHeight="1">
      <c r="A65" s="346"/>
      <c r="B65" s="1060"/>
      <c r="C65" s="20"/>
      <c r="D65" s="1084" t="str">
        <f>IF(ISBLANK(R65),"Less: Federal Tax Credit Allowed To Custodian of 25%:", "Less: Federal Tax Credit Allowed To Custodial Parent of")</f>
        <v>Less: Federal Tax Credit Allowed To Custodian of 25%:</v>
      </c>
      <c r="E65" s="916"/>
      <c r="F65" s="916"/>
      <c r="G65" s="916"/>
      <c r="H65" s="916"/>
      <c r="I65" s="916"/>
      <c r="J65" s="916"/>
      <c r="K65" s="916"/>
      <c r="L65" s="916"/>
      <c r="M65" s="916"/>
      <c r="N65" s="916"/>
      <c r="O65" s="916"/>
      <c r="P65" s="916"/>
      <c r="Q65" s="916"/>
      <c r="R65" s="1167"/>
      <c r="S65" s="1167"/>
      <c r="T65" s="18"/>
      <c r="U65" s="1173" t="str">
        <f>IF(OR(ISBLANK(J46),AND(U44=1,U48&lt;2600),AND(U44=2,U48&lt;3100),AND(U44=3,U48&lt;3400),AND(U44=4,U48&lt;3550),AND(U44=5,U48&lt;3650),AND(U44=6,U48&lt;3800),AF51=0),"",IF(AND(ISNUMBER(R65),AF51=1,U64*R65&gt;50),-50,IF(AND(ISNUMBER(R65),AF51&gt;=2,U64*R65&gt;100),-100,IF(ISNUMBER(R65),-U64*R65,IF(AND(AF51=1,U64*0.25&gt;50),-50,IF(AND(AF51&gt;=2,U64*0.25&gt;100),-100,-U64*0.25))))))</f>
        <v/>
      </c>
      <c r="V65" s="1174"/>
      <c r="W65" s="1174"/>
      <c r="X65" s="1182"/>
      <c r="Y65" s="1173" t="str">
        <f>IF(OR(ISBLANK(M46),AND(U44=1,Y48&lt;2600),AND(U44=2,Y48&lt;3100),AND(U44=3,Y48&lt;3400),AND(U44=4,Y48&lt;3550),AND(U44=5,Y48&lt;3650),AND(U44=6,Y48&lt;3800),AF51=0),"",IF(AND(ISNUMBER(R65),AF51=1,Y64*R65&gt;50),-50,IF(AND(ISNUMBER(R65),AF51&gt;=2,Y64*R65&gt;100),-100,IF(ISNUMBER(R65),-Y64*R65,IF(AND(AF51=1,Y64*0.25&gt;50),-50,IF(AND(AF51&gt;=2,Y64*0.25&gt;100),-100,-Y64*0.25))))))</f>
        <v/>
      </c>
      <c r="Z65" s="1174"/>
      <c r="AA65" s="1174"/>
      <c r="AC65" s="864"/>
      <c r="AD65" s="864"/>
      <c r="AE65" s="864"/>
      <c r="AF65" s="864"/>
      <c r="AG65" s="864"/>
      <c r="AH65" s="864"/>
      <c r="AI65" s="630"/>
    </row>
    <row r="66" spans="1:35" ht="20.100000000000001" customHeight="1">
      <c r="A66" s="346"/>
      <c r="B66" s="1060"/>
      <c r="C66" s="1023" t="str">
        <f>IF(AND(U66&gt;0,Y66&gt;0),"Extra Education Expenses Paid By Both Parents:",IF(U66&gt;0,"Extra Education Expenses Paid By Father:",IF(Y66&gt;0,"Extra Education Expenses Paid By Mother:","Extra Education Expenses Paid By:")))</f>
        <v>Extra Education Expenses Paid By:</v>
      </c>
      <c r="D66" s="1023"/>
      <c r="E66" s="1023"/>
      <c r="F66" s="1023"/>
      <c r="G66" s="1023"/>
      <c r="H66" s="1023"/>
      <c r="I66" s="1023"/>
      <c r="J66" s="1023"/>
      <c r="K66" s="1023"/>
      <c r="L66" s="1024"/>
      <c r="M66" s="1024"/>
      <c r="N66" s="1024"/>
      <c r="O66" s="1024"/>
      <c r="P66" s="1024"/>
      <c r="Q66" s="890" t="s">
        <v>15</v>
      </c>
      <c r="R66" s="890"/>
      <c r="S66" s="890"/>
      <c r="T66" s="890"/>
      <c r="U66" s="1175"/>
      <c r="V66" s="1175"/>
      <c r="W66" s="1175"/>
      <c r="X66" s="1182"/>
      <c r="Y66" s="1175"/>
      <c r="Z66" s="1175"/>
      <c r="AA66" s="1175"/>
      <c r="AC66" s="864"/>
      <c r="AD66" s="864"/>
      <c r="AE66" s="864"/>
      <c r="AF66" s="864"/>
      <c r="AG66" s="864"/>
      <c r="AH66" s="864"/>
      <c r="AI66" s="630"/>
    </row>
    <row r="67" spans="1:35" ht="20.100000000000001" customHeight="1">
      <c r="A67" s="346"/>
      <c r="B67" s="1060"/>
      <c r="C67" s="1183" t="s">
        <v>16</v>
      </c>
      <c r="D67" s="1023"/>
      <c r="E67" s="1023"/>
      <c r="F67" s="1023"/>
      <c r="G67" s="1023"/>
      <c r="H67" s="1023"/>
      <c r="I67" s="1023"/>
      <c r="J67" s="1023"/>
      <c r="K67" s="1023"/>
      <c r="L67" s="1023"/>
      <c r="M67" s="1023"/>
      <c r="N67" s="1023"/>
      <c r="O67" s="1023"/>
      <c r="P67" s="1023"/>
      <c r="Q67" s="890" t="s">
        <v>15</v>
      </c>
      <c r="R67" s="890"/>
      <c r="S67" s="890"/>
      <c r="T67" s="890"/>
      <c r="U67" s="1175"/>
      <c r="V67" s="1175"/>
      <c r="W67" s="1175"/>
      <c r="X67" s="1182"/>
      <c r="Y67" s="1175"/>
      <c r="Z67" s="1175"/>
      <c r="AA67" s="1175"/>
      <c r="AC67" s="864"/>
      <c r="AD67" s="864"/>
      <c r="AE67" s="864"/>
      <c r="AF67" s="864"/>
      <c r="AG67" s="864"/>
      <c r="AH67" s="864"/>
      <c r="AI67" s="630"/>
    </row>
    <row r="68" spans="1:35" ht="21.95" customHeight="1" thickBot="1">
      <c r="A68" s="346"/>
      <c r="B68" s="1022" t="s">
        <v>17</v>
      </c>
      <c r="C68" s="1023"/>
      <c r="D68" s="1023"/>
      <c r="E68" s="1023"/>
      <c r="F68" s="1023"/>
      <c r="G68" s="1023"/>
      <c r="H68" s="1023"/>
      <c r="I68" s="1023"/>
      <c r="J68" s="1024"/>
      <c r="K68" s="1024"/>
      <c r="L68" s="1024"/>
      <c r="M68" s="1024"/>
      <c r="N68" s="1024"/>
      <c r="O68" s="1024"/>
      <c r="P68" s="1024"/>
      <c r="Q68" s="1024"/>
      <c r="R68" s="1024"/>
      <c r="S68" s="1024"/>
      <c r="T68" s="1024"/>
      <c r="U68" s="186"/>
      <c r="V68" s="187" t="str">
        <f>IF(NOT(ISNUMBER(W58)),"","$")</f>
        <v/>
      </c>
      <c r="W68" s="1063" t="str">
        <f>IF(NOT(ISNUMBER(W58)),"",W58+W59+SUM(U62:AA67))</f>
        <v/>
      </c>
      <c r="X68" s="1063"/>
      <c r="Y68" s="1063"/>
      <c r="Z68" s="1091"/>
      <c r="AA68" s="1091"/>
      <c r="AC68" s="864"/>
      <c r="AD68" s="864"/>
      <c r="AE68" s="864"/>
      <c r="AF68" s="864"/>
      <c r="AG68" s="864"/>
      <c r="AH68" s="864"/>
      <c r="AI68" s="630"/>
    </row>
    <row r="69" spans="1:35" ht="21" customHeight="1" thickTop="1">
      <c r="A69" s="346"/>
      <c r="B69" s="1023"/>
      <c r="C69" s="1023" t="s">
        <v>21</v>
      </c>
      <c r="D69" s="1023"/>
      <c r="E69" s="1023"/>
      <c r="F69" s="1023"/>
      <c r="G69" s="1023"/>
      <c r="H69" s="1023"/>
      <c r="I69" s="1023"/>
      <c r="J69" s="1023"/>
      <c r="K69" s="1023"/>
      <c r="L69" s="1023"/>
      <c r="M69" s="1023"/>
      <c r="N69" s="1023"/>
      <c r="O69" s="1023"/>
      <c r="P69" s="1023"/>
      <c r="Q69" s="1024"/>
      <c r="R69" s="1024"/>
      <c r="S69" s="1024"/>
      <c r="T69" s="1024"/>
      <c r="U69" s="917" t="str">
        <f>IF(OR(NOT(ISNUMBER(U56)),NOT(ISNUMBER(W57))),"",U56/W57)</f>
        <v/>
      </c>
      <c r="V69" s="917"/>
      <c r="W69" s="917"/>
      <c r="X69" s="188"/>
      <c r="Y69" s="917" t="str">
        <f>IF(OR(NOT(ISNUMBER(Y56)),NOT(ISNUMBER(W57))),"",Y56/W57)</f>
        <v/>
      </c>
      <c r="Z69" s="917"/>
      <c r="AA69" s="917"/>
      <c r="AC69" s="864"/>
      <c r="AD69" s="858"/>
      <c r="AE69" s="858"/>
      <c r="AF69" s="858"/>
      <c r="AG69" s="858"/>
      <c r="AH69" s="858"/>
      <c r="AI69" s="630"/>
    </row>
    <row r="70" spans="1:35" ht="21" customHeight="1">
      <c r="A70" s="346"/>
      <c r="B70" s="1060"/>
      <c r="C70" s="1023" t="s">
        <v>18</v>
      </c>
      <c r="D70" s="1060"/>
      <c r="E70" s="1060"/>
      <c r="F70" s="1060"/>
      <c r="G70" s="1060"/>
      <c r="H70" s="1060"/>
      <c r="I70" s="1060"/>
      <c r="J70" s="1060"/>
      <c r="K70" s="1060"/>
      <c r="L70" s="1060"/>
      <c r="M70" s="1060"/>
      <c r="N70" s="1060"/>
      <c r="O70" s="1060"/>
      <c r="P70" s="1060"/>
      <c r="Q70" s="1060"/>
      <c r="R70" s="1060"/>
      <c r="S70" s="1060"/>
      <c r="T70" s="19" t="str">
        <f>IF(OR(NOT(ISNUMBER(W68)),NOT(ISNUMBER(U69))),"","$")</f>
        <v/>
      </c>
      <c r="U70" s="1070" t="str">
        <f>IF(OR(NOT(ISNUMBER(W68)),NOT(ISNUMBER(U69))),"",W68*U69)</f>
        <v/>
      </c>
      <c r="V70" s="1070"/>
      <c r="W70" s="1020"/>
      <c r="X70" s="189" t="str">
        <f>IF(OR(NOT(ISNUMBER(W68)),NOT(ISNUMBER(Y69))),"","$")</f>
        <v/>
      </c>
      <c r="Y70" s="1020" t="str">
        <f>IF(OR(NOT(ISNUMBER(W68)),NOT(ISNUMBER(Y69))),"",W68*Y69)</f>
        <v/>
      </c>
      <c r="Z70" s="1021"/>
      <c r="AA70" s="1021"/>
      <c r="AC70" s="858"/>
      <c r="AD70" s="858"/>
      <c r="AE70" s="858"/>
      <c r="AF70" s="858"/>
      <c r="AG70" s="858"/>
      <c r="AH70" s="858"/>
      <c r="AI70" s="630"/>
    </row>
    <row r="71" spans="1:35" ht="21.75" customHeight="1">
      <c r="A71" s="346"/>
      <c r="B71" s="1060"/>
      <c r="C71" s="1022" t="s">
        <v>58</v>
      </c>
      <c r="D71" s="1060"/>
      <c r="E71" s="1060"/>
      <c r="F71" s="1060"/>
      <c r="G71" s="1060"/>
      <c r="H71" s="1060"/>
      <c r="I71" s="1060"/>
      <c r="J71" s="1060"/>
      <c r="K71" s="1118" t="str">
        <f>IF(OR(NOT(ISBLANK(P46)),AND(NOT(ISBLANK(J46)),NOT(ISBLANK(M46))),AND(ISBLANK(J46),ISBLANK(M46))),"",IF(NOT(ISBLANK(M46)),"For Father Using",IF(NOT(ISBLANK(J46)),"For Mother Using")))</f>
        <v/>
      </c>
      <c r="L71" s="1060"/>
      <c r="M71" s="1060"/>
      <c r="N71" s="1060"/>
      <c r="O71" s="1060"/>
      <c r="P71" s="22"/>
      <c r="Q71" s="1061" t="s">
        <v>37</v>
      </c>
      <c r="R71" s="1060"/>
      <c r="S71" s="1060"/>
      <c r="T71" s="1060"/>
      <c r="U71" s="1091"/>
      <c r="V71" s="1091"/>
      <c r="W71" s="1091"/>
      <c r="X71" s="884"/>
      <c r="Y71" s="1091"/>
      <c r="Z71" s="1091"/>
      <c r="AA71" s="1091"/>
      <c r="AC71" s="858"/>
      <c r="AD71" s="858"/>
      <c r="AE71" s="858"/>
      <c r="AF71" s="858"/>
      <c r="AG71" s="858"/>
      <c r="AH71" s="858"/>
      <c r="AI71" s="683"/>
    </row>
    <row r="72" spans="1:35" ht="6" customHeight="1">
      <c r="A72" s="346"/>
      <c r="B72" s="1060"/>
      <c r="C72" s="20"/>
      <c r="D72" s="169"/>
      <c r="E72" s="169"/>
      <c r="F72" s="169"/>
      <c r="G72" s="24"/>
      <c r="H72" s="511" t="str">
        <f>IF(NOT(ISBLANK(I72)),".","")</f>
        <v/>
      </c>
      <c r="I72" s="207"/>
      <c r="J72" s="20"/>
      <c r="K72" s="1178"/>
      <c r="L72" s="1178"/>
      <c r="M72" s="20"/>
      <c r="N72" s="190" t="str">
        <f>IF(ISBLANK(K73),"",IF(AND(OR(I73="B",I73="b"),AND(K73&gt;=142.5,K73&lt;=182.5)),VLOOKUP(ROUND(K73,0),'Parenting Time'!A19:C22,3,TRUE),IF(OR(AND(I73="B",K73&lt;=142.5),K73&gt;182.5),"?",VLOOKUP(ROUND(K73,0),'Parenting Time'!A3:C15,3,TRUE))))</f>
        <v/>
      </c>
      <c r="P72" s="346"/>
      <c r="Q72" s="346"/>
      <c r="R72" s="208" t="str">
        <f>IF(ISNUMBER(Q73),".","")</f>
        <v/>
      </c>
      <c r="S72" s="21"/>
      <c r="T72" s="191"/>
      <c r="U72" s="881" t="str">
        <f>IF(OR(ISBLANK(M46),NOT(ISBLANK(P46))),"",IF(ISNUMBER(O73),-W58*O73,""))</f>
        <v/>
      </c>
      <c r="V72" s="882"/>
      <c r="W72" s="882"/>
      <c r="X72" s="885"/>
      <c r="Y72" s="881" t="str">
        <f>IF(OR(ISBLANK(J46),NOT(ISBLANK(P46))),"",IF(ISNUMBER(N72),-W58*N72,IF(ISNUMBER(Q73),-W58*Q73,"")))</f>
        <v/>
      </c>
      <c r="Z72" s="882"/>
      <c r="AA72" s="882"/>
      <c r="AI72" s="630"/>
    </row>
    <row r="73" spans="1:35" ht="15.75" customHeight="1">
      <c r="A73" s="346"/>
      <c r="B73" s="1060"/>
      <c r="C73" s="1294" t="s">
        <v>59</v>
      </c>
      <c r="D73" s="1295"/>
      <c r="E73" s="1295"/>
      <c r="F73" s="1295"/>
      <c r="G73" s="1295"/>
      <c r="H73" s="1296"/>
      <c r="I73" s="203" t="str">
        <f>IF(I72="B","B","A")</f>
        <v>A</v>
      </c>
      <c r="J73" s="192" t="s">
        <v>20</v>
      </c>
      <c r="K73" s="1284"/>
      <c r="L73" s="1285"/>
      <c r="M73" s="1286" t="s">
        <v>19</v>
      </c>
      <c r="N73" s="1287"/>
      <c r="O73" s="1282" t="str">
        <f>IF(NOT(ISBLANK(P46)),"",IF(AND(ISNUMBER(Q73),Q73&lt;1),Q73,IF(AND(ISNUMBER(Q73),Q73&gt;=1),Q73/100,IF(N72="?","?",IF(ISNUMBER(N72),N72,"")))))</f>
        <v/>
      </c>
      <c r="P73" s="1283"/>
      <c r="Q73" s="1293"/>
      <c r="R73" s="1293"/>
      <c r="S73" s="346"/>
      <c r="T73" s="24"/>
      <c r="U73" s="883"/>
      <c r="V73" s="883"/>
      <c r="W73" s="883"/>
      <c r="X73" s="885"/>
      <c r="Y73" s="883"/>
      <c r="Z73" s="883"/>
      <c r="AA73" s="883"/>
      <c r="AI73" s="630"/>
    </row>
    <row r="74" spans="1:35" ht="21.95" customHeight="1">
      <c r="A74" s="346"/>
      <c r="B74" s="1060"/>
      <c r="C74" s="1023" t="s">
        <v>71</v>
      </c>
      <c r="D74" s="1023"/>
      <c r="E74" s="1023"/>
      <c r="F74" s="1023"/>
      <c r="G74" s="1023"/>
      <c r="H74" s="1023"/>
      <c r="I74" s="1023"/>
      <c r="J74" s="1023"/>
      <c r="K74" s="1023"/>
      <c r="L74" s="1023"/>
      <c r="M74" s="1023"/>
      <c r="N74" s="1023"/>
      <c r="O74" s="1023"/>
      <c r="P74" s="1024"/>
      <c r="Q74" s="1024"/>
      <c r="R74" s="1024"/>
      <c r="S74" s="1024"/>
      <c r="T74" s="1024"/>
      <c r="U74" s="1070" t="str">
        <f>IF(NOT(ISNUMBER($W$68)),"",-SUM(U62:U67))</f>
        <v/>
      </c>
      <c r="V74" s="1070"/>
      <c r="W74" s="1070"/>
      <c r="X74" s="885"/>
      <c r="Y74" s="1070" t="str">
        <f>IF(NOT(ISNUMBER($W$68)),"",-SUM(Y62:Y67))</f>
        <v/>
      </c>
      <c r="Z74" s="1070"/>
      <c r="AA74" s="1070"/>
      <c r="AI74" s="630"/>
    </row>
    <row r="75" spans="1:35" ht="21.95" customHeight="1" thickBot="1">
      <c r="A75" s="346"/>
      <c r="B75" s="1022" t="s">
        <v>39</v>
      </c>
      <c r="C75" s="1060"/>
      <c r="D75" s="1060"/>
      <c r="E75" s="1060"/>
      <c r="F75" s="1060"/>
      <c r="G75" s="1060"/>
      <c r="H75" s="1060"/>
      <c r="I75" s="1060"/>
      <c r="J75" s="1060"/>
      <c r="K75" s="1060"/>
      <c r="L75" s="1060"/>
      <c r="M75" s="1060"/>
      <c r="N75" s="1060"/>
      <c r="O75" s="1060"/>
      <c r="P75" s="1060"/>
      <c r="Q75" s="1060"/>
      <c r="R75" s="1060"/>
      <c r="S75" s="1060"/>
      <c r="T75" s="184" t="str">
        <f>IF(NOT(ISNUMBER(U70)),"","$")</f>
        <v/>
      </c>
      <c r="U75" s="1305" t="str">
        <f>IF(NOT(ISNUMBER(U70)),"",IF(ISNUMBER(U72),U70+U72+U74,U70+U74))</f>
        <v/>
      </c>
      <c r="V75" s="1305"/>
      <c r="W75" s="1305"/>
      <c r="X75" s="193" t="str">
        <f>IF(NOT(ISNUMBER(Y70)),"","$")</f>
        <v/>
      </c>
      <c r="Y75" s="1305" t="str">
        <f>IF(NOT(ISNUMBER(Y70)),"",IF(ISNUMBER(Y72),Y70+Y72+Y74,Y70+Y74))</f>
        <v/>
      </c>
      <c r="Z75" s="1305"/>
      <c r="AA75" s="1305"/>
      <c r="AC75" s="17"/>
      <c r="AD75" s="17"/>
      <c r="AI75" s="630"/>
    </row>
    <row r="76" spans="1:35" ht="21.95" customHeight="1" thickTop="1">
      <c r="A76" s="346"/>
      <c r="B76" s="337"/>
      <c r="C76" s="1023" t="s">
        <v>35</v>
      </c>
      <c r="D76" s="1023"/>
      <c r="E76" s="1023"/>
      <c r="F76" s="1023"/>
      <c r="G76" s="1023"/>
      <c r="H76" s="1023"/>
      <c r="I76" s="1023"/>
      <c r="J76" s="1023"/>
      <c r="K76" s="1023"/>
      <c r="L76" s="1023"/>
      <c r="M76" s="1023"/>
      <c r="N76" s="1023"/>
      <c r="O76" s="1023"/>
      <c r="P76" s="1023"/>
      <c r="Q76" s="1024"/>
      <c r="R76" s="1024"/>
      <c r="S76" s="1024"/>
      <c r="T76" s="1024"/>
      <c r="U76" s="1070" t="str">
        <f>IF(ISBLANK(P46),"",IF(U75&gt;Y75,-(U75-Y75)/2,(Y75-U75)/2))</f>
        <v/>
      </c>
      <c r="V76" s="1070"/>
      <c r="W76" s="1070"/>
      <c r="X76" s="884"/>
      <c r="Y76" s="1070" t="str">
        <f>IF(ISBLANK(P46),"",IF(Y75&gt;U75,-(Y75-U75)/2,(U75-Y75)/2))</f>
        <v/>
      </c>
      <c r="Z76" s="1070"/>
      <c r="AA76" s="1070"/>
      <c r="AC76" s="17"/>
      <c r="AD76" s="17"/>
      <c r="AI76" s="630"/>
    </row>
    <row r="77" spans="1:35" ht="20.100000000000001" customHeight="1">
      <c r="A77" s="346"/>
      <c r="B77" s="1111" t="str">
        <f>IF(NOT(ISBLANK(M46)),"Self Support Reserve Test:  Father's Adjusted Gross Income:",IF(NOT(ISBLANK(J46)),"Self Support Reserve Test:  Mother's Adjusted Gross Income:",IF(AND(NOT(ISBLANK(P46)),U75&gt;Y75),"Self Support Reserve Test:  Father's Adjusted Gross Income:",IF(AND(NOT(ISBLANK(P46)),Y75&gt;U75),"Self Support Reserve Test:  Mother's Adjusted Gross Income:","Self Support Reserve Test:  Obligor's Adjusted Gross Income:"))))</f>
        <v>Self Support Reserve Test:  Obligor's Adjusted Gross Income:</v>
      </c>
      <c r="C77" s="916"/>
      <c r="D77" s="916"/>
      <c r="E77" s="916"/>
      <c r="F77" s="916"/>
      <c r="G77" s="916"/>
      <c r="H77" s="916"/>
      <c r="I77" s="916"/>
      <c r="J77" s="916"/>
      <c r="K77" s="916"/>
      <c r="L77" s="916"/>
      <c r="M77" s="916"/>
      <c r="N77" s="1299" t="str">
        <f>IF(NOT(ISBLANK(M46)),U56,IF(NOT(ISBLANK(J46)),Y56,IF(AND(NOT(ISBLANK(P46)),U75&gt;Y75),U56,IF(AND(NOT(ISBLANK(P46)),Y75&gt;U75),Y56,"$_________"))))</f>
        <v>$_________</v>
      </c>
      <c r="O77" s="1300"/>
      <c r="P77" s="1300"/>
      <c r="Q77" s="890" t="s">
        <v>15</v>
      </c>
      <c r="R77" s="890"/>
      <c r="S77" s="890"/>
      <c r="T77" s="890"/>
      <c r="U77" s="1091" t="str">
        <f>IF(AND(NOT(ISBLANK(P46)),U75=Y75),"",IF(NOT(ISBLANK(P46)),U75+U76,""))</f>
        <v/>
      </c>
      <c r="V77" s="1091"/>
      <c r="W77" s="1091"/>
      <c r="X77" s="885"/>
      <c r="Y77" s="1091" t="str">
        <f>IF(AND(NOT(ISBLANK(P46)),Y75=U75),"",IF(NOT(ISBLANK(P46)),Y75+Y76,""))</f>
        <v/>
      </c>
      <c r="Z77" s="1091"/>
      <c r="AA77" s="1091"/>
      <c r="AC77" s="17"/>
      <c r="AD77" s="17"/>
      <c r="AI77" s="630"/>
    </row>
    <row r="78" spans="1:35" ht="12.75" customHeight="1">
      <c r="A78" s="346"/>
      <c r="B78" s="337"/>
      <c r="C78" s="348" t="s">
        <v>275</v>
      </c>
      <c r="D78" s="340"/>
      <c r="E78" s="340"/>
      <c r="F78" s="340"/>
      <c r="G78" s="340"/>
      <c r="H78" s="340"/>
      <c r="I78" s="340"/>
      <c r="J78" s="340"/>
      <c r="K78" s="350" t="s">
        <v>276</v>
      </c>
      <c r="L78" s="1301"/>
      <c r="M78" s="1302"/>
      <c r="N78" s="346"/>
      <c r="O78" s="341"/>
      <c r="P78" s="341"/>
      <c r="Q78" s="1262" t="s">
        <v>15</v>
      </c>
      <c r="R78" s="1263"/>
      <c r="S78" s="1263"/>
      <c r="T78" s="1263"/>
      <c r="U78" s="1315" t="str">
        <f>IF(OR(AND(ISBLANK(J46),ISBLANK(M46),ISBLANK(P46)),AND(ISBLANK(J48),ISBLANK(M48),ISBLANK(P48)),NOT(ISBLANK(P46)),NOT(ISBLANK(J46)),NOT(ISNUMBER(U44))),"",IF(AND(ISBLANK(L80),(N77-L78-1115)&lt;0),-U75,IF(AND(ISBLANK(L80),NOT(ISBLANK(M46)),U75&gt;Q79),-(U75-Q79),IF(AND(ISBLANK(L80),NOT(ISBLANK(M46)),U75&lt;Q79),0,""))))</f>
        <v/>
      </c>
      <c r="V78" s="1024"/>
      <c r="W78" s="1024"/>
      <c r="X78" s="885"/>
      <c r="Y78" s="1315" t="str">
        <f>IF(OR(AND(ISBLANK(J46),ISBLANK(M46),ISBLANK(P46)),AND(ISBLANK(J49),ISBLANK(M49),ISBLANK(P49)),NOT(ISBLANK(P46)),NOT(ISBLANK(M46)),NOT(ISNUMBER(U44))),"",IF(AND(ISBLANK(L80),(N77-L78-1115)&lt;0),-Y75,IF(AND(ISBLANK(L80),NOT(ISBLANK(J46)),Y75&gt;Q79),-(Y75-Q79),IF(AND(ISBLANK(L80),NOT(ISBLANK(J46)),Y75&lt;Q79),0,""))))</f>
        <v/>
      </c>
      <c r="Z78" s="1024"/>
      <c r="AA78" s="1024"/>
      <c r="AI78" s="346"/>
    </row>
    <row r="79" spans="1:35" ht="12.75" customHeight="1">
      <c r="A79" s="346"/>
      <c r="B79" s="337"/>
      <c r="C79" s="348" t="s">
        <v>274</v>
      </c>
      <c r="D79" s="342"/>
      <c r="E79" s="342"/>
      <c r="F79" s="342"/>
      <c r="G79" s="340"/>
      <c r="H79" s="340"/>
      <c r="I79" s="340"/>
      <c r="J79" s="340"/>
      <c r="K79" s="1259">
        <v>-1115</v>
      </c>
      <c r="L79" s="1260"/>
      <c r="M79" s="1260"/>
      <c r="N79" s="1261">
        <f>L78-K79</f>
        <v>1115</v>
      </c>
      <c r="O79" s="1177"/>
      <c r="P79" s="1177"/>
      <c r="Q79" s="1264" t="str">
        <f>IF(NOT(ISNUMBER(N77)),"",IF((N77-L78-1115)&lt;0,"None",N77-L78-1115))</f>
        <v/>
      </c>
      <c r="R79" s="1046"/>
      <c r="S79" s="1046"/>
      <c r="T79" s="339"/>
      <c r="U79" s="1171"/>
      <c r="V79" s="1171"/>
      <c r="W79" s="1171"/>
      <c r="X79" s="885"/>
      <c r="Y79" s="1171"/>
      <c r="Z79" s="1171"/>
      <c r="AA79" s="1171"/>
      <c r="AI79" s="630"/>
    </row>
    <row r="80" spans="1:35" ht="12.75" customHeight="1">
      <c r="A80" s="346"/>
      <c r="C80" s="1183" t="s">
        <v>277</v>
      </c>
      <c r="D80" s="916"/>
      <c r="E80" s="916"/>
      <c r="F80" s="916"/>
      <c r="G80" s="916"/>
      <c r="H80" s="916"/>
      <c r="I80" s="916"/>
      <c r="J80" s="916"/>
      <c r="K80" s="916"/>
      <c r="L80" s="351"/>
      <c r="M80" s="344"/>
      <c r="N80" s="338"/>
      <c r="O80" s="338"/>
      <c r="P80" s="338"/>
      <c r="Q80" s="1316" t="s">
        <v>303</v>
      </c>
      <c r="R80" s="1316"/>
      <c r="S80" s="1316"/>
      <c r="T80" s="1239" t="str">
        <f>IF(OR(NOT(ISNUMBER(U75)),AND(NOT(ISBLANK(P46)),U76&gt;=Y76),AND(NOT(ISBLANK(J46)),Y75&gt;0),AND(NOT(ISBLANK(M46)),U75&lt;0)),"","$")</f>
        <v/>
      </c>
      <c r="U80" s="1297" t="str">
        <f>IF(OR(NOT(ISNUMBER(U75)),AND(NOT(ISBLANK(P46)),U76&gt;=Y76),AND(NOT(ISBLANK(J46)),Y75&gt;=0),AND(NOT(ISBLANK(M46)),U75&lt;=0)),"",IF(AND(NOT(ISBLANK(P46)),Y76&gt;U76),-U76,IF(AND(NOT(ISBLANK(J46)),Y75&lt;0),-Y75,IF(AND(NOT(ISNUMBER(U76)),NOT(ISNUMBER(U78))),U75,IF(NOT(ISNUMBER(U76)),U75+U78,IF(NOT(ISNUMBER(U78)),U75+U76,U75+U76+U78))))))</f>
        <v/>
      </c>
      <c r="V80" s="1297"/>
      <c r="W80" s="1297"/>
      <c r="X80" s="1239" t="str">
        <f>IF(OR(NOT(ISNUMBER(Y75)),AND(NOT(ISBLANK(P46)),Y76&gt;=U76),AND(NOT(ISBLANK(M46)),U75&gt;0),AND(NOT(ISBLANK(J46)),Y75&lt;0)),"","$")</f>
        <v/>
      </c>
      <c r="Y80" s="1321" t="str">
        <f>IF(OR(NOT(ISNUMBER(Y75)),AND(NOT(ISBLANK(P46)),Y76&gt;=U76),AND(NOT(ISBLANK(M46)),U75&gt;=0),AND(NOT(ISBLANK(J46)),Y75&lt;=0)),"",IF(AND(NOT(ISBLANK(P46)),U76&gt;Y76),-Y76,IF(AND(NOT(ISBLANK(M46)),U75&lt;0),-U75,IF(AND(NOT(ISNUMBER(Y76)),NOT(ISNUMBER(Y78))),Y75,IF(NOT(ISNUMBER(Y76)),Y75+Y78,IF(NOT(ISNUMBER(Y78)),Y75+Y76,Y75+Y76+Y78))))))</f>
        <v/>
      </c>
      <c r="Z80" s="1321"/>
      <c r="AA80" s="1321"/>
      <c r="AI80" s="630"/>
    </row>
    <row r="81" spans="1:35" ht="15.75" customHeight="1" thickBot="1">
      <c r="A81" s="346"/>
      <c r="B81" s="1022" t="str">
        <f>IF(AND(NOT(ISBLANK(M46)),U75&lt;=0),"Final Child Support Obligation Payable By Mother:",IF(AND(NOT(ISBLANK(J46)),Y75&lt;=0),"Final Child Support Obligation Payable By Father:",IF(OR(NOT(ISBLANK(M46)),AND(NOT(ISBLANK(P46)),U75&gt;Y75)),"Final Child Support Obligation Payable By Father:",IF(OR(NOT(ISBLANK(J46)),AND(NOT(ISBLANK(P46)),Y75&gt;U75)),"Final Child Support Obligation Payable By Mother:","Final Child Support Obligation Payable By Obligor:"))))</f>
        <v>Final Child Support Obligation Payable By Obligor:</v>
      </c>
      <c r="C81" s="916"/>
      <c r="D81" s="916"/>
      <c r="E81" s="916"/>
      <c r="F81" s="916"/>
      <c r="G81" s="916"/>
      <c r="H81" s="916"/>
      <c r="I81" s="916"/>
      <c r="J81" s="916"/>
      <c r="K81" s="916"/>
      <c r="L81" s="916"/>
      <c r="M81" s="916"/>
      <c r="N81" s="916"/>
      <c r="O81" s="916"/>
      <c r="P81" s="916"/>
      <c r="Q81" s="916"/>
      <c r="R81" s="916"/>
      <c r="S81" s="916"/>
      <c r="T81" s="1060"/>
      <c r="U81" s="1298"/>
      <c r="V81" s="1298"/>
      <c r="W81" s="1298"/>
      <c r="X81" s="1060"/>
      <c r="Y81" s="1322"/>
      <c r="Z81" s="1322"/>
      <c r="AA81" s="1322"/>
      <c r="AI81" s="630"/>
    </row>
    <row r="82" spans="1:35" ht="12.75" customHeight="1" thickTop="1">
      <c r="A82" s="346"/>
      <c r="B82" s="521"/>
      <c r="C82" s="521"/>
      <c r="D82" s="521"/>
      <c r="E82" s="521"/>
      <c r="F82" s="521"/>
      <c r="G82" s="521"/>
      <c r="H82" s="521"/>
      <c r="I82" s="521"/>
      <c r="J82" s="529"/>
      <c r="K82" s="530"/>
      <c r="L82" s="531"/>
      <c r="M82" s="532"/>
      <c r="N82" s="533"/>
      <c r="O82" s="530"/>
      <c r="P82" s="533"/>
      <c r="Q82" s="533"/>
      <c r="R82" s="529"/>
      <c r="S82" s="530"/>
      <c r="T82" s="534"/>
      <c r="U82" s="535"/>
      <c r="V82" s="535"/>
      <c r="W82" s="535"/>
      <c r="X82" s="533"/>
      <c r="Y82" s="536"/>
      <c r="Z82" s="536"/>
      <c r="AA82" s="536"/>
      <c r="AI82" s="630"/>
    </row>
    <row r="83" spans="1:35" s="494" customFormat="1" ht="15" customHeight="1">
      <c r="A83" s="676"/>
      <c r="B83" s="1248" t="s">
        <v>417</v>
      </c>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50"/>
      <c r="AI83" s="634"/>
    </row>
    <row r="84" spans="1:35" s="494" customFormat="1" ht="12.75" customHeight="1">
      <c r="A84" s="676"/>
      <c r="B84" s="1251"/>
      <c r="C84" s="1251"/>
      <c r="D84" s="1251"/>
      <c r="E84" s="1251"/>
      <c r="F84" s="1251"/>
      <c r="G84" s="1251"/>
      <c r="H84" s="1251"/>
      <c r="I84" s="1251"/>
      <c r="J84" s="1251"/>
      <c r="K84" s="1251"/>
      <c r="L84" s="1251"/>
      <c r="M84" s="1251"/>
      <c r="N84" s="1251"/>
      <c r="O84" s="1251"/>
      <c r="P84" s="1251"/>
      <c r="Q84" s="1251"/>
      <c r="R84" s="1251"/>
      <c r="S84" s="1251"/>
      <c r="T84" s="1251"/>
      <c r="U84" s="1251"/>
      <c r="V84" s="1251"/>
      <c r="W84" s="1251"/>
      <c r="X84" s="1251"/>
      <c r="Y84" s="1251"/>
      <c r="Z84" s="1251"/>
      <c r="AA84" s="1251"/>
      <c r="AI84" s="634"/>
    </row>
    <row r="85" spans="1:35" ht="12.75" customHeight="1">
      <c r="A85" s="346"/>
      <c r="B85" s="897" t="s">
        <v>334</v>
      </c>
      <c r="C85" s="897"/>
      <c r="D85" s="897"/>
      <c r="E85" s="897"/>
      <c r="F85" s="897"/>
      <c r="G85" s="897"/>
      <c r="H85" s="897"/>
      <c r="I85" s="897"/>
      <c r="J85" s="897"/>
      <c r="K85" s="897"/>
      <c r="L85" s="897"/>
      <c r="M85" s="897"/>
      <c r="N85" s="897"/>
      <c r="O85" s="897"/>
      <c r="P85" s="897"/>
      <c r="Q85" s="897"/>
      <c r="R85" s="897"/>
      <c r="S85" s="495"/>
      <c r="T85" s="460"/>
      <c r="U85" s="460"/>
      <c r="V85" s="460"/>
      <c r="W85" s="460"/>
      <c r="X85" s="460"/>
      <c r="Y85" s="460"/>
      <c r="Z85" s="460"/>
      <c r="AA85" s="460"/>
      <c r="AI85" s="630"/>
    </row>
    <row r="86" spans="1:35" ht="12.75" customHeight="1">
      <c r="A86" s="346"/>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346"/>
    </row>
    <row r="87" spans="1:35" ht="30" customHeight="1">
      <c r="A87" s="346"/>
      <c r="B87" s="1253" t="s">
        <v>310</v>
      </c>
      <c r="C87" s="1254"/>
      <c r="D87" s="1254"/>
      <c r="E87" s="1254"/>
      <c r="F87" s="1254"/>
      <c r="G87" s="1254"/>
      <c r="H87" s="1254"/>
      <c r="I87" s="1254"/>
      <c r="J87" s="1254"/>
      <c r="K87" s="1254"/>
      <c r="L87" s="1254"/>
      <c r="M87" s="1254"/>
      <c r="N87" s="1254"/>
      <c r="O87" s="1254"/>
      <c r="P87" s="1254"/>
      <c r="Q87" s="1254"/>
      <c r="R87" s="1254"/>
      <c r="S87" s="1254"/>
      <c r="T87" s="1254"/>
      <c r="U87" s="1254"/>
      <c r="V87" s="1254"/>
      <c r="W87" s="1254"/>
      <c r="X87" s="1254"/>
      <c r="Y87" s="1254"/>
      <c r="Z87" s="1254"/>
      <c r="AA87" s="1255"/>
      <c r="AB87" s="20"/>
      <c r="AC87" s="20"/>
      <c r="AD87" s="20"/>
      <c r="AE87" s="20"/>
      <c r="AF87" s="20"/>
      <c r="AG87" s="20"/>
      <c r="AH87" s="20"/>
      <c r="AI87" s="346"/>
    </row>
    <row r="88" spans="1:35" ht="12.75" customHeight="1">
      <c r="A88" s="346"/>
      <c r="B88" s="1232" t="s">
        <v>349</v>
      </c>
      <c r="C88" s="1233"/>
      <c r="D88" s="1233"/>
      <c r="E88" s="1233"/>
      <c r="F88" s="1233"/>
      <c r="G88" s="1233"/>
      <c r="H88" s="1233"/>
      <c r="I88" s="1233"/>
      <c r="J88" s="1233"/>
      <c r="K88" s="1233"/>
      <c r="L88" s="1233"/>
      <c r="M88" s="1233"/>
      <c r="N88" s="1233"/>
      <c r="O88" s="1233"/>
      <c r="P88" s="1233"/>
      <c r="Q88" s="1233"/>
      <c r="R88" s="1233"/>
      <c r="S88" s="1233"/>
      <c r="T88" s="1233"/>
      <c r="U88" s="1233"/>
      <c r="V88" s="1233"/>
      <c r="W88" s="1233"/>
      <c r="X88" s="1233"/>
      <c r="Y88" s="1233"/>
      <c r="Z88" s="1233"/>
      <c r="AA88" s="1234"/>
      <c r="AB88" s="20"/>
      <c r="AC88" s="20"/>
      <c r="AD88" s="20"/>
      <c r="AE88" s="20"/>
      <c r="AF88" s="20"/>
      <c r="AG88" s="20"/>
      <c r="AH88" s="20"/>
      <c r="AI88" s="346"/>
    </row>
    <row r="89" spans="1:35" ht="12.75" customHeight="1">
      <c r="A89" s="346"/>
      <c r="B89" s="235"/>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236"/>
      <c r="AB89" s="20"/>
      <c r="AC89" s="20"/>
      <c r="AD89" s="20"/>
      <c r="AE89" s="20"/>
      <c r="AF89" s="20"/>
      <c r="AG89" s="20"/>
      <c r="AH89" s="20"/>
      <c r="AI89" s="346"/>
    </row>
    <row r="90" spans="1:35" ht="12.75" customHeight="1">
      <c r="A90" s="346"/>
      <c r="B90" s="930" t="s">
        <v>206</v>
      </c>
      <c r="C90" s="1172"/>
      <c r="D90" s="1172"/>
      <c r="E90" s="1172"/>
      <c r="F90" s="1172"/>
      <c r="G90" s="1172"/>
      <c r="H90" s="1272" t="str">
        <f>IF(B81="Final Child Support Obligation Payable By Mother:",Y80,U80)</f>
        <v/>
      </c>
      <c r="I90" s="1273"/>
      <c r="J90" s="1059"/>
      <c r="K90" s="565"/>
      <c r="L90" s="915" t="s">
        <v>307</v>
      </c>
      <c r="M90" s="1317"/>
      <c r="N90" s="1317"/>
      <c r="O90" s="1317"/>
      <c r="P90" s="1317"/>
      <c r="Q90" s="1317"/>
      <c r="R90" s="1317"/>
      <c r="S90" s="1312"/>
      <c r="T90" s="1313"/>
      <c r="U90" s="1313"/>
      <c r="V90" s="1314"/>
      <c r="W90" s="237"/>
      <c r="X90" s="237"/>
      <c r="Y90" s="237"/>
      <c r="Z90" s="237"/>
      <c r="AA90" s="238"/>
      <c r="AB90" s="20"/>
      <c r="AC90" s="20"/>
      <c r="AD90" s="20"/>
      <c r="AE90" s="20"/>
      <c r="AF90" s="20"/>
      <c r="AG90" s="20"/>
      <c r="AH90" s="20"/>
      <c r="AI90" s="346"/>
    </row>
    <row r="91" spans="1:35">
      <c r="A91" s="346"/>
      <c r="B91" s="569"/>
      <c r="C91" s="213" t="s">
        <v>218</v>
      </c>
      <c r="D91" s="564"/>
      <c r="E91" s="564"/>
      <c r="F91" s="564"/>
      <c r="G91" s="248" t="str">
        <f>IF(AND(ISBLANK(G92),ISBLANK(G93)),"x","")</f>
        <v>x</v>
      </c>
      <c r="H91" s="329" t="s">
        <v>263</v>
      </c>
      <c r="I91" s="262"/>
      <c r="J91" s="560"/>
      <c r="K91" s="565"/>
      <c r="L91" s="565"/>
      <c r="M91" s="565"/>
      <c r="N91" s="565"/>
      <c r="O91" s="242"/>
      <c r="P91" s="242"/>
      <c r="Q91" s="242"/>
      <c r="R91" s="242"/>
      <c r="S91" s="242"/>
      <c r="T91" s="242"/>
      <c r="U91" s="237"/>
      <c r="V91" s="237"/>
      <c r="W91" s="237"/>
      <c r="X91" s="237"/>
      <c r="Y91" s="237"/>
      <c r="Z91" s="237"/>
      <c r="AA91" s="238"/>
      <c r="AB91" s="20"/>
      <c r="AC91" s="20"/>
      <c r="AD91" s="20"/>
      <c r="AE91" s="20"/>
      <c r="AF91" s="20"/>
      <c r="AG91" s="20"/>
      <c r="AH91" s="20"/>
      <c r="AI91" s="346"/>
    </row>
    <row r="92" spans="1:35" ht="12.75" customHeight="1">
      <c r="A92" s="346"/>
      <c r="B92" s="243" t="str">
        <f>IF(F93=2,"Error-2 Checked","")</f>
        <v/>
      </c>
      <c r="C92" s="221"/>
      <c r="D92" s="237"/>
      <c r="E92" s="237"/>
      <c r="F92" s="237"/>
      <c r="G92" s="437"/>
      <c r="H92" s="330" t="s">
        <v>422</v>
      </c>
      <c r="I92" s="237"/>
      <c r="J92" s="237"/>
      <c r="K92" s="237"/>
      <c r="L92" s="237"/>
      <c r="M92" s="237"/>
      <c r="N92" s="237"/>
      <c r="O92" s="221"/>
      <c r="P92" s="242"/>
      <c r="Q92" s="242"/>
      <c r="R92" s="242"/>
      <c r="S92" s="242"/>
      <c r="T92" s="242"/>
      <c r="U92" s="237"/>
      <c r="V92" s="237"/>
      <c r="W92" s="237"/>
      <c r="X92" s="237"/>
      <c r="Y92" s="237"/>
      <c r="Z92" s="237"/>
      <c r="AA92" s="238"/>
      <c r="AB92" s="20"/>
      <c r="AC92" s="20"/>
      <c r="AD92" s="20"/>
      <c r="AE92" s="20"/>
      <c r="AF92" s="20"/>
      <c r="AG92" s="20"/>
      <c r="AH92" s="20"/>
      <c r="AI92" s="346"/>
    </row>
    <row r="93" spans="1:35">
      <c r="A93" s="346"/>
      <c r="B93" s="243"/>
      <c r="C93" s="237"/>
      <c r="D93" s="237"/>
      <c r="E93" s="237"/>
      <c r="F93" s="258">
        <f>IF(AND(ISBLANK(G92),ISBLANK(G93)),0,IF(OR(AND(NOT(ISBLANK(G92)),ISBLANK(G93)),AND(NOT(ISBLANK(G93)),ISBLANK(G92))),1,2))</f>
        <v>0</v>
      </c>
      <c r="G93" s="647"/>
      <c r="H93" s="330" t="s">
        <v>423</v>
      </c>
      <c r="I93" s="237"/>
      <c r="J93" s="237"/>
      <c r="K93" s="237"/>
      <c r="L93" s="237"/>
      <c r="M93" s="237"/>
      <c r="N93" s="94"/>
      <c r="O93" s="646"/>
      <c r="P93" s="221"/>
      <c r="Q93" s="645"/>
      <c r="R93" s="645"/>
      <c r="S93" s="645"/>
      <c r="T93" s="645"/>
      <c r="U93" s="645"/>
      <c r="V93" s="645"/>
      <c r="W93" s="645"/>
      <c r="X93" s="645"/>
      <c r="Y93" s="645"/>
      <c r="Z93" s="645"/>
      <c r="AA93" s="442"/>
      <c r="AB93" s="20"/>
      <c r="AC93" s="20"/>
      <c r="AD93" s="20"/>
      <c r="AE93" s="20"/>
      <c r="AF93" s="20"/>
      <c r="AG93" s="20"/>
      <c r="AH93" s="20"/>
      <c r="AI93" s="346"/>
    </row>
    <row r="94" spans="1:35" ht="35.25" customHeight="1">
      <c r="A94" s="346"/>
      <c r="B94" s="243"/>
      <c r="C94" s="237"/>
      <c r="D94" s="237"/>
      <c r="E94" s="237"/>
      <c r="F94" s="258"/>
      <c r="G94" s="1245"/>
      <c r="H94" s="1246"/>
      <c r="I94" s="1246"/>
      <c r="J94" s="1246"/>
      <c r="K94" s="1246"/>
      <c r="L94" s="1246"/>
      <c r="M94" s="1246"/>
      <c r="N94" s="1246"/>
      <c r="O94" s="1246"/>
      <c r="P94" s="1246"/>
      <c r="Q94" s="1246"/>
      <c r="R94" s="1246"/>
      <c r="S94" s="1246"/>
      <c r="T94" s="1246"/>
      <c r="U94" s="1246"/>
      <c r="V94" s="1246"/>
      <c r="W94" s="1246"/>
      <c r="X94" s="1246"/>
      <c r="Y94" s="1246"/>
      <c r="Z94" s="1246"/>
      <c r="AA94" s="1247"/>
      <c r="AB94" s="20"/>
      <c r="AC94" s="20"/>
      <c r="AD94" s="20"/>
      <c r="AE94" s="20"/>
      <c r="AF94" s="20"/>
      <c r="AG94" s="20"/>
      <c r="AH94" s="20"/>
      <c r="AI94" s="346"/>
    </row>
    <row r="95" spans="1:35">
      <c r="A95" s="346"/>
      <c r="B95" s="930" t="s">
        <v>207</v>
      </c>
      <c r="C95" s="1172"/>
      <c r="D95" s="1172"/>
      <c r="E95" s="1172"/>
      <c r="F95" s="1172"/>
      <c r="G95" s="1172"/>
      <c r="H95" s="1085"/>
      <c r="I95" s="1086"/>
      <c r="J95" s="1087"/>
      <c r="K95" s="237"/>
      <c r="L95" s="237"/>
      <c r="M95" s="237"/>
      <c r="N95" s="237"/>
      <c r="O95" s="646"/>
      <c r="P95" s="645"/>
      <c r="Q95" s="645"/>
      <c r="R95" s="645"/>
      <c r="S95" s="645"/>
      <c r="T95" s="645"/>
      <c r="U95" s="645"/>
      <c r="V95" s="645"/>
      <c r="W95" s="645"/>
      <c r="X95" s="645"/>
      <c r="Y95" s="645"/>
      <c r="Z95" s="645"/>
      <c r="AA95" s="442"/>
      <c r="AB95" s="20"/>
      <c r="AC95" s="20"/>
      <c r="AD95" s="20"/>
      <c r="AE95" s="20"/>
      <c r="AF95" s="20"/>
      <c r="AG95" s="20"/>
      <c r="AH95" s="20"/>
      <c r="AI95" s="346"/>
    </row>
    <row r="96" spans="1:35" ht="12.75" customHeight="1">
      <c r="A96" s="346"/>
      <c r="B96" s="569" t="s">
        <v>0</v>
      </c>
      <c r="C96" s="564"/>
      <c r="D96" s="564"/>
      <c r="E96" s="564"/>
      <c r="F96" s="564"/>
      <c r="G96" s="221"/>
      <c r="H96" s="1272" t="str">
        <f>IF(AND(NOT(ISNUMBER(H95)),NOT(ISNUMBER(S90))),H90,IF(AND(ISNUMBER(H95),OR(NOT(ISBLANK(G92)),NOT(ISBLANK(G93)))),H95,IF(ISNUMBER(S90),S90,"")))</f>
        <v/>
      </c>
      <c r="I96" s="1273"/>
      <c r="J96" s="963"/>
      <c r="K96" s="237"/>
      <c r="L96" s="237"/>
      <c r="M96" s="237"/>
      <c r="N96" s="237"/>
      <c r="O96" s="575"/>
      <c r="P96" s="572"/>
      <c r="Q96" s="572"/>
      <c r="R96" s="572"/>
      <c r="S96" s="572"/>
      <c r="T96" s="572"/>
      <c r="U96" s="572"/>
      <c r="V96" s="572"/>
      <c r="W96" s="572"/>
      <c r="X96" s="572"/>
      <c r="Y96" s="572"/>
      <c r="Z96" s="572"/>
      <c r="AA96" s="442"/>
      <c r="AB96" s="20"/>
      <c r="AC96" s="20"/>
      <c r="AD96" s="20"/>
      <c r="AE96" s="20"/>
      <c r="AF96" s="20"/>
      <c r="AG96" s="20"/>
      <c r="AH96" s="20"/>
      <c r="AI96" s="346"/>
    </row>
    <row r="97" spans="1:35" ht="12.75" customHeight="1">
      <c r="A97" s="346"/>
      <c r="B97" s="245"/>
      <c r="C97" s="94"/>
      <c r="D97" s="94"/>
      <c r="E97" s="94"/>
      <c r="F97" s="94"/>
      <c r="G97" s="94"/>
      <c r="H97" s="94"/>
      <c r="I97" s="94"/>
      <c r="J97" s="94"/>
      <c r="K97" s="94"/>
      <c r="L97" s="94"/>
      <c r="M97" s="94"/>
      <c r="N97" s="94"/>
      <c r="O97" s="446"/>
      <c r="P97" s="576"/>
      <c r="Q97" s="576"/>
      <c r="R97" s="576"/>
      <c r="S97" s="576"/>
      <c r="T97" s="576"/>
      <c r="U97" s="576"/>
      <c r="V97" s="576"/>
      <c r="W97" s="576"/>
      <c r="X97" s="576"/>
      <c r="Y97" s="576"/>
      <c r="Z97" s="576"/>
      <c r="AA97" s="445"/>
      <c r="AB97" s="20"/>
      <c r="AC97" s="20"/>
      <c r="AD97" s="20"/>
      <c r="AE97" s="20"/>
      <c r="AF97" s="20"/>
      <c r="AG97" s="20"/>
      <c r="AH97" s="20"/>
      <c r="AI97" s="346"/>
    </row>
    <row r="98" spans="1:35" s="447" customFormat="1" ht="24.95" customHeight="1">
      <c r="A98" s="635"/>
      <c r="B98" s="1124" t="s">
        <v>325</v>
      </c>
      <c r="C98" s="898"/>
      <c r="D98" s="898"/>
      <c r="E98" s="898"/>
      <c r="F98" s="898"/>
      <c r="G98" s="898"/>
      <c r="H98" s="898"/>
      <c r="I98" s="898"/>
      <c r="J98" s="898"/>
      <c r="K98" s="898"/>
      <c r="L98" s="898"/>
      <c r="M98" s="898"/>
      <c r="N98" s="898"/>
      <c r="O98" s="898"/>
      <c r="P98" s="898"/>
      <c r="Q98" s="898"/>
      <c r="R98" s="898"/>
      <c r="S98" s="898"/>
      <c r="T98" s="898"/>
      <c r="U98" s="898"/>
      <c r="V98" s="898"/>
      <c r="W98" s="898"/>
      <c r="X98" s="898"/>
      <c r="Y98" s="898"/>
      <c r="Z98" s="898"/>
      <c r="AA98" s="899"/>
      <c r="AB98" s="448"/>
      <c r="AC98" s="448"/>
      <c r="AD98" s="448"/>
      <c r="AE98" s="429"/>
      <c r="AF98" s="429"/>
      <c r="AG98" s="429"/>
      <c r="AH98" s="860"/>
      <c r="AI98" s="635"/>
    </row>
    <row r="99" spans="1:35" ht="12.75" customHeight="1">
      <c r="A99" s="346"/>
      <c r="B99" s="247"/>
      <c r="C99" s="237"/>
      <c r="D99" s="237"/>
      <c r="E99" s="237"/>
      <c r="F99" s="237"/>
      <c r="G99" s="248" t="str">
        <f>IF(ISBLANK(G100),"x","")</f>
        <v>x</v>
      </c>
      <c r="H99" s="213" t="s">
        <v>386</v>
      </c>
      <c r="I99" s="78"/>
      <c r="J99" s="78"/>
      <c r="K99" s="78"/>
      <c r="L99" s="237"/>
      <c r="M99" s="233"/>
      <c r="N99" s="233"/>
      <c r="O99" s="233"/>
      <c r="P99" s="233"/>
      <c r="Q99" s="233"/>
      <c r="R99" s="233"/>
      <c r="S99" s="213"/>
      <c r="T99" s="213"/>
      <c r="U99" s="237"/>
      <c r="V99" s="294"/>
      <c r="W99" s="294"/>
      <c r="X99" s="294"/>
      <c r="Y99" s="294"/>
      <c r="Z99" s="294"/>
      <c r="AA99" s="293"/>
      <c r="AB99" s="237"/>
      <c r="AC99" s="237"/>
      <c r="AD99" s="237"/>
      <c r="AE99" s="20"/>
      <c r="AF99" s="20"/>
      <c r="AG99" s="20"/>
      <c r="AH99" s="20"/>
      <c r="AI99" s="346"/>
    </row>
    <row r="100" spans="1:35" ht="12.75" customHeight="1">
      <c r="A100" s="346"/>
      <c r="B100" s="261"/>
      <c r="C100" s="237"/>
      <c r="D100" s="237"/>
      <c r="E100" s="237"/>
      <c r="F100" s="237"/>
      <c r="G100" s="437"/>
      <c r="H100" s="213" t="s">
        <v>387</v>
      </c>
      <c r="I100" s="237"/>
      <c r="J100" s="237"/>
      <c r="K100" s="237"/>
      <c r="L100" s="237"/>
      <c r="M100" s="221"/>
      <c r="N100" s="221"/>
      <c r="O100" s="221"/>
      <c r="P100" s="221"/>
      <c r="Q100" s="1269"/>
      <c r="R100" s="1270"/>
      <c r="S100" s="1270"/>
      <c r="T100" s="1271"/>
      <c r="U100" s="438"/>
      <c r="V100" s="438"/>
      <c r="W100" s="438"/>
      <c r="X100" s="438"/>
      <c r="Y100" s="438"/>
      <c r="Z100" s="438"/>
      <c r="AA100" s="421"/>
      <c r="AB100" s="20"/>
      <c r="AC100" s="20"/>
      <c r="AD100" s="20"/>
      <c r="AE100" s="20"/>
      <c r="AF100" s="20"/>
      <c r="AG100" s="20"/>
      <c r="AH100" s="20"/>
      <c r="AI100" s="346"/>
    </row>
    <row r="101" spans="1:35" ht="12.75" customHeight="1">
      <c r="A101" s="346"/>
      <c r="B101" s="247"/>
      <c r="C101" s="237"/>
      <c r="D101" s="237"/>
      <c r="E101" s="237"/>
      <c r="F101" s="237"/>
      <c r="G101" s="568"/>
      <c r="H101" s="991" t="s">
        <v>388</v>
      </c>
      <c r="I101" s="879"/>
      <c r="J101" s="879"/>
      <c r="K101" s="879"/>
      <c r="L101" s="880"/>
      <c r="M101" s="1326"/>
      <c r="N101" s="1327"/>
      <c r="O101" s="1327"/>
      <c r="P101" s="1327"/>
      <c r="Q101" s="1327"/>
      <c r="R101" s="1328"/>
      <c r="S101" s="1323" t="s">
        <v>308</v>
      </c>
      <c r="T101" s="1324"/>
      <c r="U101" s="1325"/>
      <c r="V101" s="1004"/>
      <c r="W101" s="1005"/>
      <c r="X101" s="1005"/>
      <c r="Y101" s="1005"/>
      <c r="Z101" s="1005"/>
      <c r="AA101" s="1006"/>
      <c r="AB101" s="20"/>
      <c r="AC101" s="20"/>
      <c r="AD101" s="20"/>
      <c r="AE101" s="20"/>
      <c r="AF101" s="20"/>
      <c r="AG101" s="20"/>
      <c r="AH101" s="20"/>
      <c r="AI101" s="346"/>
    </row>
    <row r="102" spans="1:35" ht="12.75" customHeight="1">
      <c r="A102" s="346"/>
      <c r="B102" s="247"/>
      <c r="C102" s="237"/>
      <c r="D102" s="237"/>
      <c r="E102" s="237"/>
      <c r="F102" s="237"/>
      <c r="G102" s="568"/>
      <c r="H102" s="991" t="s">
        <v>389</v>
      </c>
      <c r="I102" s="879"/>
      <c r="J102" s="879"/>
      <c r="K102" s="879"/>
      <c r="L102" s="880"/>
      <c r="M102" s="1269"/>
      <c r="N102" s="1270"/>
      <c r="O102" s="1270"/>
      <c r="P102" s="1271"/>
      <c r="Q102" s="1266" t="s">
        <v>309</v>
      </c>
      <c r="R102" s="1035"/>
      <c r="S102" s="1035"/>
      <c r="T102" s="904"/>
      <c r="U102" s="1004"/>
      <c r="V102" s="1005"/>
      <c r="W102" s="1005"/>
      <c r="X102" s="1005"/>
      <c r="Y102" s="1005"/>
      <c r="Z102" s="1006"/>
      <c r="AA102" s="515"/>
      <c r="AB102" s="20"/>
      <c r="AC102" s="20"/>
      <c r="AD102" s="20"/>
      <c r="AE102" s="20"/>
      <c r="AF102" s="20"/>
      <c r="AG102" s="20"/>
      <c r="AH102" s="20"/>
      <c r="AI102" s="346"/>
    </row>
    <row r="103" spans="1:35" ht="12.75" customHeight="1">
      <c r="A103" s="346"/>
      <c r="B103" s="436"/>
      <c r="C103" s="94"/>
      <c r="D103" s="94"/>
      <c r="E103" s="94"/>
      <c r="F103" s="94"/>
      <c r="G103" s="563"/>
      <c r="H103" s="292"/>
      <c r="I103" s="501"/>
      <c r="J103" s="501"/>
      <c r="K103" s="501"/>
      <c r="L103" s="94"/>
      <c r="M103" s="512"/>
      <c r="N103" s="512"/>
      <c r="O103" s="512"/>
      <c r="P103" s="512"/>
      <c r="Q103" s="512"/>
      <c r="R103" s="512"/>
      <c r="S103" s="563"/>
      <c r="T103" s="281"/>
      <c r="U103" s="281"/>
      <c r="V103" s="513"/>
      <c r="W103" s="513"/>
      <c r="X103" s="513"/>
      <c r="Y103" s="513"/>
      <c r="Z103" s="513"/>
      <c r="AA103" s="514"/>
      <c r="AB103" s="20"/>
      <c r="AC103" s="20"/>
      <c r="AD103" s="20"/>
      <c r="AE103" s="20"/>
      <c r="AF103" s="20"/>
      <c r="AG103" s="20"/>
      <c r="AH103" s="20"/>
      <c r="AI103" s="346"/>
    </row>
    <row r="104" spans="1:35" s="447" customFormat="1" ht="24.95" customHeight="1">
      <c r="A104" s="635"/>
      <c r="B104" s="1258" t="s">
        <v>326</v>
      </c>
      <c r="C104" s="898"/>
      <c r="D104" s="898"/>
      <c r="E104" s="898"/>
      <c r="F104" s="898"/>
      <c r="G104" s="898"/>
      <c r="H104" s="898"/>
      <c r="I104" s="898"/>
      <c r="J104" s="898"/>
      <c r="K104" s="898"/>
      <c r="L104" s="898"/>
      <c r="M104" s="898"/>
      <c r="N104" s="898"/>
      <c r="O104" s="898"/>
      <c r="P104" s="898"/>
      <c r="Q104" s="898"/>
      <c r="R104" s="898"/>
      <c r="S104" s="449"/>
      <c r="T104" s="1279" t="str">
        <f>IF(AND(NOT(ISBLANK(T106)),NOT(ISBLANK(W106))),"Can't Enter Against Both","")</f>
        <v/>
      </c>
      <c r="U104" s="1280"/>
      <c r="V104" s="1280"/>
      <c r="W104" s="1280"/>
      <c r="X104" s="1280"/>
      <c r="Y104" s="1280"/>
      <c r="Z104" s="1280"/>
      <c r="AA104" s="450"/>
      <c r="AB104" s="429"/>
      <c r="AC104" s="429"/>
      <c r="AD104" s="860"/>
      <c r="AE104" s="429"/>
      <c r="AF104" s="429"/>
      <c r="AG104" s="429"/>
      <c r="AH104" s="860"/>
      <c r="AI104" s="635"/>
    </row>
    <row r="105" spans="1:35">
      <c r="A105" s="346"/>
      <c r="B105" s="440"/>
      <c r="C105" s="438"/>
      <c r="D105" s="438"/>
      <c r="E105" s="438"/>
      <c r="F105" s="438"/>
      <c r="G105" s="441" t="str">
        <f>IF(ISBLANK(G106),"x","")</f>
        <v>x</v>
      </c>
      <c r="H105" s="439" t="s">
        <v>390</v>
      </c>
      <c r="I105" s="438"/>
      <c r="J105" s="438"/>
      <c r="K105" s="438"/>
      <c r="L105" s="438"/>
      <c r="M105" s="438"/>
      <c r="N105" s="438"/>
      <c r="O105" s="438"/>
      <c r="P105" s="438"/>
      <c r="Q105" s="438"/>
      <c r="R105" s="438"/>
      <c r="S105" s="438"/>
      <c r="T105" s="1280"/>
      <c r="U105" s="1280"/>
      <c r="V105" s="1280"/>
      <c r="W105" s="1280"/>
      <c r="X105" s="1280"/>
      <c r="Y105" s="1280"/>
      <c r="Z105" s="1280"/>
      <c r="AA105" s="421"/>
      <c r="AB105" s="20"/>
      <c r="AC105" s="20"/>
      <c r="AD105" s="20"/>
      <c r="AE105" s="20"/>
      <c r="AF105" s="20"/>
      <c r="AG105" s="20"/>
      <c r="AH105" s="20"/>
      <c r="AI105" s="346"/>
    </row>
    <row r="106" spans="1:35">
      <c r="A106" s="346"/>
      <c r="B106" s="440"/>
      <c r="C106" s="438"/>
      <c r="D106" s="438"/>
      <c r="E106" s="438"/>
      <c r="F106" s="438"/>
      <c r="G106" s="437"/>
      <c r="H106" s="213" t="s">
        <v>391</v>
      </c>
      <c r="I106" s="438"/>
      <c r="J106" s="438"/>
      <c r="K106" s="438"/>
      <c r="L106" s="438"/>
      <c r="M106" s="1269"/>
      <c r="N106" s="1270"/>
      <c r="O106" s="1270"/>
      <c r="P106" s="1271"/>
      <c r="Q106" s="1267" t="str">
        <f>IF(B81="Final Child Support Obligation Payable By Father:"," Against Father for past support including:",IF(B81="Final Child Support Obligation Payable By Mother:"," Against Mother for past support including:"," Against Obligor for past support including:"))</f>
        <v xml:space="preserve"> Against Obligor for past support including:</v>
      </c>
      <c r="R106" s="956"/>
      <c r="S106" s="956"/>
      <c r="T106" s="956"/>
      <c r="U106" s="956"/>
      <c r="V106" s="956"/>
      <c r="W106" s="956"/>
      <c r="X106" s="956"/>
      <c r="Y106" s="956"/>
      <c r="Z106" s="956"/>
      <c r="AA106" s="1268"/>
      <c r="AB106" s="20"/>
      <c r="AC106" s="20"/>
      <c r="AD106" s="20"/>
      <c r="AE106" s="20"/>
      <c r="AF106" s="20"/>
      <c r="AG106" s="20"/>
      <c r="AH106" s="20"/>
      <c r="AI106" s="346"/>
    </row>
    <row r="107" spans="1:35">
      <c r="A107" s="346"/>
      <c r="B107" s="440"/>
      <c r="C107" s="573"/>
      <c r="D107" s="580"/>
      <c r="E107" s="580"/>
      <c r="F107" s="580"/>
      <c r="G107" s="459"/>
      <c r="H107" s="458"/>
      <c r="I107" s="644" t="s">
        <v>419</v>
      </c>
      <c r="J107" s="572"/>
      <c r="K107" s="572"/>
      <c r="L107" s="572"/>
      <c r="M107" s="572"/>
      <c r="N107" s="572"/>
      <c r="O107" s="572"/>
      <c r="P107" s="572"/>
      <c r="Q107" s="572"/>
      <c r="R107" s="572"/>
      <c r="S107" s="572"/>
      <c r="T107" s="572"/>
      <c r="U107" s="572"/>
      <c r="V107" s="572"/>
      <c r="W107" s="572"/>
      <c r="X107" s="572"/>
      <c r="Y107" s="572"/>
      <c r="Z107" s="572"/>
      <c r="AA107" s="442"/>
      <c r="AB107" s="20"/>
      <c r="AC107" s="20"/>
      <c r="AD107" s="20"/>
      <c r="AE107" s="20"/>
      <c r="AF107" s="20"/>
      <c r="AG107" s="20"/>
      <c r="AH107" s="20"/>
      <c r="AI107" s="346"/>
    </row>
    <row r="108" spans="1:35">
      <c r="A108" s="346"/>
      <c r="B108" s="440"/>
      <c r="C108" s="580"/>
      <c r="D108" s="580"/>
      <c r="E108" s="580"/>
      <c r="F108" s="580"/>
      <c r="G108" s="459"/>
      <c r="H108" s="458"/>
      <c r="I108" s="644" t="s">
        <v>420</v>
      </c>
      <c r="J108" s="572"/>
      <c r="K108" s="572"/>
      <c r="L108" s="572"/>
      <c r="M108" s="572"/>
      <c r="N108" s="572"/>
      <c r="O108" s="572"/>
      <c r="P108" s="572"/>
      <c r="Q108" s="572"/>
      <c r="R108" s="572"/>
      <c r="S108" s="572"/>
      <c r="T108" s="572"/>
      <c r="U108" s="572"/>
      <c r="V108" s="572"/>
      <c r="W108" s="572"/>
      <c r="X108" s="572"/>
      <c r="Y108" s="572"/>
      <c r="Z108" s="572"/>
      <c r="AA108" s="442"/>
      <c r="AB108" s="20"/>
      <c r="AC108" s="20"/>
      <c r="AD108" s="20"/>
      <c r="AE108" s="20"/>
      <c r="AF108" s="20"/>
      <c r="AG108" s="20"/>
      <c r="AH108" s="20"/>
      <c r="AI108" s="346"/>
    </row>
    <row r="109" spans="1:35" ht="12.75" customHeight="1">
      <c r="A109" s="346"/>
      <c r="B109" s="1256"/>
      <c r="C109" s="1046"/>
      <c r="D109" s="1046"/>
      <c r="E109" s="1046"/>
      <c r="F109" s="1046"/>
      <c r="G109" s="1046"/>
      <c r="H109" s="1046"/>
      <c r="I109" s="1046"/>
      <c r="J109" s="1046"/>
      <c r="K109" s="1046"/>
      <c r="L109" s="1046"/>
      <c r="M109" s="1046"/>
      <c r="N109" s="1046"/>
      <c r="O109" s="1046"/>
      <c r="P109" s="1046"/>
      <c r="Q109" s="1046"/>
      <c r="R109" s="1046"/>
      <c r="S109" s="1046"/>
      <c r="T109" s="1046"/>
      <c r="U109" s="1046"/>
      <c r="V109" s="1046"/>
      <c r="W109" s="1046"/>
      <c r="X109" s="1046"/>
      <c r="Y109" s="1046"/>
      <c r="Z109" s="1046"/>
      <c r="AA109" s="1257"/>
      <c r="AB109" s="20"/>
      <c r="AC109" s="20"/>
      <c r="AD109" s="20"/>
      <c r="AE109" s="20"/>
      <c r="AF109" s="20"/>
      <c r="AG109" s="20"/>
      <c r="AH109" s="20"/>
      <c r="AI109" s="346"/>
    </row>
    <row r="110" spans="1:35" s="447" customFormat="1" ht="17.25" customHeight="1">
      <c r="A110" s="635"/>
      <c r="B110" s="1277" t="s">
        <v>329</v>
      </c>
      <c r="C110" s="1278"/>
      <c r="D110" s="1278"/>
      <c r="E110" s="1278"/>
      <c r="F110" s="1278"/>
      <c r="G110" s="1278"/>
      <c r="H110" s="1278"/>
      <c r="I110" s="1278"/>
      <c r="J110" s="1278"/>
      <c r="K110" s="1278"/>
      <c r="L110" s="1278"/>
      <c r="M110" s="1278"/>
      <c r="N110" s="1278"/>
      <c r="O110" s="1278"/>
      <c r="P110" s="1278"/>
      <c r="Q110" s="1278"/>
      <c r="R110" s="1278"/>
      <c r="S110" s="1278"/>
      <c r="T110" s="1278"/>
      <c r="U110" s="1278"/>
      <c r="V110" s="1278"/>
      <c r="W110" s="1278"/>
      <c r="X110" s="1278"/>
      <c r="Y110" s="1278"/>
      <c r="Z110" s="1278"/>
      <c r="AA110" s="1033"/>
      <c r="AB110" s="462"/>
      <c r="AC110" s="462"/>
      <c r="AD110" s="860"/>
      <c r="AE110" s="462"/>
      <c r="AF110" s="462"/>
      <c r="AG110" s="462"/>
      <c r="AH110" s="860"/>
      <c r="AI110" s="635"/>
    </row>
    <row r="111" spans="1:35" s="447" customFormat="1" ht="18.75" customHeight="1">
      <c r="A111" s="635"/>
      <c r="B111" s="1309" t="s">
        <v>574</v>
      </c>
      <c r="C111" s="1310"/>
      <c r="D111" s="1310"/>
      <c r="E111" s="1310"/>
      <c r="F111" s="1310"/>
      <c r="G111" s="1310"/>
      <c r="H111" s="1310"/>
      <c r="I111" s="1310"/>
      <c r="J111" s="1310"/>
      <c r="K111" s="1310"/>
      <c r="L111" s="1310"/>
      <c r="M111" s="1310"/>
      <c r="N111" s="1310"/>
      <c r="O111" s="1310"/>
      <c r="P111" s="1310"/>
      <c r="Q111" s="1310"/>
      <c r="R111" s="1310"/>
      <c r="S111" s="1310"/>
      <c r="T111" s="1310"/>
      <c r="U111" s="1310"/>
      <c r="V111" s="1310"/>
      <c r="W111" s="1310"/>
      <c r="X111" s="1310"/>
      <c r="Y111" s="1310"/>
      <c r="Z111" s="1310"/>
      <c r="AA111" s="1311"/>
      <c r="AB111" s="784"/>
      <c r="AC111" s="784"/>
      <c r="AD111" s="860"/>
      <c r="AE111" s="784"/>
      <c r="AF111" s="784"/>
      <c r="AG111" s="784"/>
      <c r="AH111" s="860"/>
      <c r="AI111" s="635"/>
    </row>
    <row r="112" spans="1:35" ht="12.75" customHeight="1">
      <c r="A112" s="346"/>
      <c r="B112" s="492"/>
      <c r="C112" s="581"/>
      <c r="D112" s="581"/>
      <c r="E112" s="581"/>
      <c r="F112" s="581"/>
      <c r="G112" s="248" t="str">
        <f>IF(ISBLANK(G113),"x","")</f>
        <v>x</v>
      </c>
      <c r="H112" s="213" t="s">
        <v>392</v>
      </c>
      <c r="I112" s="237"/>
      <c r="J112" s="237"/>
      <c r="K112" s="237"/>
      <c r="L112" s="237"/>
      <c r="M112" s="237"/>
      <c r="N112" s="237"/>
      <c r="O112" s="237"/>
      <c r="P112" s="237"/>
      <c r="Q112" s="237"/>
      <c r="R112" s="237"/>
      <c r="S112" s="237"/>
      <c r="T112" s="237"/>
      <c r="U112" s="237"/>
      <c r="V112" s="237"/>
      <c r="W112" s="237"/>
      <c r="X112" s="237"/>
      <c r="Y112" s="237"/>
      <c r="Z112" s="237"/>
      <c r="AA112" s="238"/>
      <c r="AB112" s="20"/>
      <c r="AC112" s="20"/>
      <c r="AD112" s="20"/>
      <c r="AE112" s="20"/>
      <c r="AF112" s="20"/>
      <c r="AG112" s="20"/>
      <c r="AH112" s="20"/>
      <c r="AI112" s="346"/>
    </row>
    <row r="113" spans="1:35" ht="12.75" customHeight="1">
      <c r="A113" s="346"/>
      <c r="B113" s="493"/>
      <c r="C113" s="581"/>
      <c r="D113" s="581"/>
      <c r="E113" s="581"/>
      <c r="F113" s="581"/>
      <c r="G113" s="437"/>
      <c r="H113" s="213" t="s">
        <v>393</v>
      </c>
      <c r="I113" s="237"/>
      <c r="J113" s="237"/>
      <c r="K113" s="237"/>
      <c r="L113" s="221"/>
      <c r="M113" s="1318"/>
      <c r="N113" s="1319"/>
      <c r="O113" s="1319"/>
      <c r="P113" s="1320"/>
      <c r="Q113" s="895" t="s">
        <v>233</v>
      </c>
      <c r="R113" s="1280"/>
      <c r="S113" s="1280"/>
      <c r="T113" s="248" t="str">
        <f>IF(AND(NOT(ISBLANK(G113)),ISBLANK(W113)),"x","")</f>
        <v/>
      </c>
      <c r="U113" s="560" t="s">
        <v>6</v>
      </c>
      <c r="V113" s="565"/>
      <c r="W113" s="244"/>
      <c r="X113" s="560" t="s">
        <v>7</v>
      </c>
      <c r="Y113" s="565"/>
      <c r="Z113" s="237"/>
      <c r="AA113" s="238"/>
      <c r="AB113" s="20"/>
      <c r="AC113" s="20"/>
      <c r="AD113" s="20"/>
      <c r="AE113" s="20"/>
      <c r="AF113" s="20"/>
      <c r="AG113" s="20"/>
      <c r="AH113" s="20"/>
      <c r="AI113" s="346"/>
    </row>
    <row r="114" spans="1:35" ht="12.75" customHeight="1">
      <c r="A114" s="346"/>
      <c r="B114" s="493"/>
      <c r="C114" s="581"/>
      <c r="D114" s="581"/>
      <c r="E114" s="581"/>
      <c r="F114" s="581"/>
      <c r="G114" s="588"/>
      <c r="H114" s="1308" t="str">
        <f>IF(T113="x"," Payable directly to Mother in monthly payments of:",IF(NOT(ISBLANK(W113))," Payable directly to Father in monthly payments of:",""))</f>
        <v/>
      </c>
      <c r="I114" s="903"/>
      <c r="J114" s="903"/>
      <c r="K114" s="903"/>
      <c r="L114" s="903"/>
      <c r="M114" s="903"/>
      <c r="N114" s="903"/>
      <c r="O114" s="903"/>
      <c r="P114" s="903"/>
      <c r="Q114" s="903"/>
      <c r="R114" s="903"/>
      <c r="S114" s="903"/>
      <c r="T114" s="1306"/>
      <c r="U114" s="1307"/>
      <c r="V114" s="1307"/>
      <c r="W114" s="1307"/>
      <c r="X114" s="1308" t="str">
        <f>IF(NOT(ISBLANK(G113))," per month.","")</f>
        <v/>
      </c>
      <c r="Y114" s="916"/>
      <c r="Z114" s="916"/>
      <c r="AA114" s="939"/>
      <c r="AB114" s="20"/>
      <c r="AC114" s="20"/>
      <c r="AD114" s="20"/>
      <c r="AE114" s="20"/>
      <c r="AF114" s="20"/>
      <c r="AG114" s="20"/>
      <c r="AH114" s="20"/>
      <c r="AI114" s="346"/>
    </row>
    <row r="115" spans="1:35" ht="12.75" customHeight="1">
      <c r="A115" s="346"/>
      <c r="B115" s="493"/>
      <c r="C115" s="581"/>
      <c r="D115" s="581"/>
      <c r="E115" s="581"/>
      <c r="F115" s="581"/>
      <c r="G115" s="237"/>
      <c r="H115" s="915" t="str">
        <f>IF(NOT(ISBLANK(G113)),"Note:  Paternity Expense Judgments will not be included in an Order of Assignment.","")</f>
        <v/>
      </c>
      <c r="I115" s="916"/>
      <c r="J115" s="916"/>
      <c r="K115" s="916"/>
      <c r="L115" s="916"/>
      <c r="M115" s="916"/>
      <c r="N115" s="916"/>
      <c r="O115" s="916"/>
      <c r="P115" s="916"/>
      <c r="Q115" s="916"/>
      <c r="R115" s="916"/>
      <c r="S115" s="916"/>
      <c r="T115" s="916"/>
      <c r="U115" s="916"/>
      <c r="V115" s="916"/>
      <c r="W115" s="916"/>
      <c r="X115" s="916"/>
      <c r="Y115" s="916"/>
      <c r="Z115" s="916"/>
      <c r="AA115" s="939"/>
      <c r="AB115" s="20"/>
      <c r="AC115" s="20"/>
      <c r="AD115" s="20"/>
      <c r="AE115" s="20"/>
      <c r="AF115" s="20"/>
      <c r="AG115" s="20"/>
      <c r="AH115" s="20"/>
      <c r="AI115" s="346"/>
    </row>
    <row r="116" spans="1:35" ht="12.75" customHeight="1">
      <c r="A116" s="346"/>
      <c r="B116" s="245"/>
      <c r="C116" s="94"/>
      <c r="D116" s="94"/>
      <c r="E116" s="94"/>
      <c r="F116" s="94"/>
      <c r="G116" s="94"/>
      <c r="H116" s="249"/>
      <c r="I116" s="94"/>
      <c r="J116" s="94"/>
      <c r="K116" s="94"/>
      <c r="L116" s="295"/>
      <c r="M116" s="295"/>
      <c r="N116" s="295"/>
      <c r="O116" s="295"/>
      <c r="P116" s="94"/>
      <c r="Q116" s="94"/>
      <c r="R116" s="94"/>
      <c r="S116" s="94"/>
      <c r="T116" s="94"/>
      <c r="U116" s="94"/>
      <c r="V116" s="94"/>
      <c r="W116" s="94"/>
      <c r="X116" s="94"/>
      <c r="Y116" s="94"/>
      <c r="Z116" s="94"/>
      <c r="AA116" s="246"/>
      <c r="AB116" s="20"/>
      <c r="AC116" s="20"/>
      <c r="AD116" s="20"/>
      <c r="AE116" s="20"/>
      <c r="AF116" s="20"/>
      <c r="AG116" s="20"/>
      <c r="AH116" s="20"/>
      <c r="AI116" s="346"/>
    </row>
    <row r="117" spans="1:35" ht="24.95" customHeight="1">
      <c r="A117" s="346"/>
      <c r="B117" s="243"/>
      <c r="C117" s="237"/>
      <c r="D117" s="237"/>
      <c r="E117" s="237"/>
      <c r="F117" s="237"/>
      <c r="G117" s="1092"/>
      <c r="H117" s="994"/>
      <c r="I117" s="994"/>
      <c r="J117" s="994"/>
      <c r="K117" s="994"/>
      <c r="L117" s="994"/>
      <c r="M117" s="994"/>
      <c r="N117" s="1003" t="s">
        <v>209</v>
      </c>
      <c r="O117" s="1003"/>
      <c r="P117" s="1003"/>
      <c r="Q117" s="1003"/>
      <c r="R117" s="1003" t="s">
        <v>210</v>
      </c>
      <c r="S117" s="1003"/>
      <c r="T117" s="1003"/>
      <c r="U117" s="1003"/>
      <c r="V117" s="101"/>
      <c r="W117" s="101"/>
      <c r="X117" s="237"/>
      <c r="Y117" s="237"/>
      <c r="Z117" s="237"/>
      <c r="AA117" s="238"/>
      <c r="AB117" s="20"/>
      <c r="AC117" s="20"/>
      <c r="AD117" s="20"/>
      <c r="AE117" s="20"/>
      <c r="AF117" s="20"/>
      <c r="AG117" s="20"/>
      <c r="AH117" s="20"/>
      <c r="AI117" s="346"/>
    </row>
    <row r="118" spans="1:35">
      <c r="A118" s="346"/>
      <c r="B118" s="250" t="s">
        <v>208</v>
      </c>
      <c r="C118" s="237"/>
      <c r="D118" s="237"/>
      <c r="E118" s="237"/>
      <c r="F118" s="237"/>
      <c r="G118" s="897" t="s">
        <v>211</v>
      </c>
      <c r="H118" s="1007"/>
      <c r="I118" s="1007"/>
      <c r="J118" s="1007"/>
      <c r="K118" s="1007"/>
      <c r="L118" s="994"/>
      <c r="M118" s="939"/>
      <c r="N118" s="1117"/>
      <c r="O118" s="1117"/>
      <c r="P118" s="1117"/>
      <c r="Q118" s="1117"/>
      <c r="R118" s="1252" t="str">
        <f>IF(ISNUMBER(H96),H96,"")</f>
        <v/>
      </c>
      <c r="S118" s="1252"/>
      <c r="T118" s="1252"/>
      <c r="U118" s="1252"/>
      <c r="V118" s="101"/>
      <c r="W118" s="101"/>
      <c r="X118" s="237"/>
      <c r="Y118" s="237"/>
      <c r="Z118" s="237"/>
      <c r="AA118" s="238"/>
      <c r="AB118" s="20"/>
      <c r="AC118" s="20"/>
      <c r="AD118" s="20"/>
      <c r="AE118" s="20"/>
      <c r="AF118" s="20"/>
      <c r="AG118" s="20"/>
      <c r="AH118" s="20"/>
      <c r="AI118" s="346"/>
    </row>
    <row r="119" spans="1:35">
      <c r="A119" s="346"/>
      <c r="B119" s="243"/>
      <c r="C119" s="237"/>
      <c r="D119" s="237"/>
      <c r="E119" s="237"/>
      <c r="F119" s="237"/>
      <c r="G119" s="897" t="s">
        <v>316</v>
      </c>
      <c r="H119" s="1007"/>
      <c r="I119" s="1007"/>
      <c r="J119" s="1007"/>
      <c r="K119" s="1007"/>
      <c r="L119" s="994"/>
      <c r="M119" s="939"/>
      <c r="N119" s="1252" t="str">
        <f>IF(ISNUMBER(Q100),Q100,"")</f>
        <v/>
      </c>
      <c r="O119" s="1281"/>
      <c r="P119" s="1281"/>
      <c r="Q119" s="1281"/>
      <c r="R119" s="1103"/>
      <c r="S119" s="1103"/>
      <c r="T119" s="1103"/>
      <c r="U119" s="1103"/>
      <c r="V119" s="101"/>
      <c r="W119" s="101"/>
      <c r="X119" s="237"/>
      <c r="Y119" s="237"/>
      <c r="Z119" s="237"/>
      <c r="AA119" s="238"/>
      <c r="AB119" s="20"/>
      <c r="AC119" s="20"/>
      <c r="AD119" s="20"/>
      <c r="AE119" s="20"/>
      <c r="AF119" s="20"/>
      <c r="AG119" s="20"/>
      <c r="AH119" s="20"/>
      <c r="AI119" s="346"/>
    </row>
    <row r="120" spans="1:35">
      <c r="A120" s="346"/>
      <c r="B120" s="243"/>
      <c r="C120" s="237"/>
      <c r="D120" s="237"/>
      <c r="E120" s="237"/>
      <c r="F120" s="237"/>
      <c r="G120" s="1008" t="s">
        <v>327</v>
      </c>
      <c r="H120" s="1007"/>
      <c r="I120" s="1007"/>
      <c r="J120" s="1007"/>
      <c r="K120" s="1007"/>
      <c r="L120" s="994"/>
      <c r="M120" s="939"/>
      <c r="N120" s="1252" t="str">
        <f>IF(ISNUMBER(M106),M106,"")</f>
        <v/>
      </c>
      <c r="O120" s="1281"/>
      <c r="P120" s="1281"/>
      <c r="Q120" s="1281"/>
      <c r="R120" s="1103"/>
      <c r="S120" s="1103"/>
      <c r="T120" s="1103"/>
      <c r="U120" s="1103"/>
      <c r="V120" s="101"/>
      <c r="W120" s="101"/>
      <c r="X120" s="237"/>
      <c r="Y120" s="237"/>
      <c r="Z120" s="237"/>
      <c r="AA120" s="238"/>
      <c r="AB120" s="20"/>
      <c r="AC120" s="20"/>
      <c r="AD120" s="20"/>
      <c r="AE120" s="20"/>
      <c r="AF120" s="20"/>
      <c r="AG120" s="20"/>
      <c r="AH120" s="20"/>
      <c r="AI120" s="346"/>
    </row>
    <row r="121" spans="1:35">
      <c r="A121" s="346"/>
      <c r="B121" s="243"/>
      <c r="C121" s="237"/>
      <c r="D121" s="237"/>
      <c r="E121" s="237"/>
      <c r="F121" s="237"/>
      <c r="G121" s="897" t="s">
        <v>318</v>
      </c>
      <c r="H121" s="1007"/>
      <c r="I121" s="1007"/>
      <c r="J121" s="1007"/>
      <c r="K121" s="1007"/>
      <c r="L121" s="994"/>
      <c r="M121" s="939"/>
      <c r="N121" s="1252" t="str">
        <f>IF(ISNUMBER(M113),M113,"")</f>
        <v/>
      </c>
      <c r="O121" s="1281"/>
      <c r="P121" s="1281"/>
      <c r="Q121" s="1281"/>
      <c r="R121" s="1104" t="str">
        <f>IF(ISNUMBER(T114),T114,"")</f>
        <v/>
      </c>
      <c r="S121" s="1104"/>
      <c r="T121" s="1104"/>
      <c r="U121" s="1104"/>
      <c r="V121" s="101"/>
      <c r="W121" s="101"/>
      <c r="X121" s="237"/>
      <c r="Y121" s="237"/>
      <c r="Z121" s="237"/>
      <c r="AA121" s="238"/>
      <c r="AB121" s="20"/>
      <c r="AC121" s="20"/>
      <c r="AD121" s="20"/>
      <c r="AE121" s="20"/>
      <c r="AF121" s="20"/>
      <c r="AG121" s="20"/>
      <c r="AH121" s="20"/>
      <c r="AI121" s="346"/>
    </row>
    <row r="122" spans="1:35">
      <c r="A122" s="346"/>
      <c r="B122" s="243"/>
      <c r="C122" s="237"/>
      <c r="D122" s="237"/>
      <c r="E122" s="237"/>
      <c r="F122" s="237"/>
      <c r="G122" s="897" t="s">
        <v>319</v>
      </c>
      <c r="H122" s="1007"/>
      <c r="I122" s="1007"/>
      <c r="J122" s="1007"/>
      <c r="K122" s="1007"/>
      <c r="L122" s="939"/>
      <c r="M122" s="994"/>
      <c r="N122" s="1275"/>
      <c r="O122" s="1276"/>
      <c r="P122" s="1276"/>
      <c r="Q122" s="1276"/>
      <c r="R122" s="1274" t="str">
        <f>IF(ISNUMBER(N122),N122,IF(AND(B81="Final Child Support Obligation Payable By Father:",U50&lt;0,Y50&gt;0),ABS(MIN(ABS(U50),ABS(Y50))),IF(AND(B81="Final Child Support Obligation Payable By Mother:",Y50&lt;0,U50&gt;0),ABS(MIN(ABS(U50),ABS(Y50))),"")))</f>
        <v/>
      </c>
      <c r="S122" s="1274"/>
      <c r="T122" s="1274"/>
      <c r="U122" s="1274"/>
      <c r="V122" s="237"/>
      <c r="W122" s="237"/>
      <c r="X122" s="237"/>
      <c r="Y122" s="237"/>
      <c r="Z122" s="237"/>
      <c r="AA122" s="238"/>
      <c r="AB122" s="20"/>
      <c r="AC122" s="20"/>
      <c r="AD122" s="20"/>
      <c r="AE122" s="20"/>
      <c r="AF122" s="20"/>
      <c r="AG122" s="20"/>
      <c r="AH122" s="20"/>
      <c r="AI122" s="346"/>
    </row>
    <row r="123" spans="1:35">
      <c r="A123" s="346"/>
      <c r="B123" s="243"/>
      <c r="C123" s="237"/>
      <c r="D123" s="237"/>
      <c r="E123" s="237"/>
      <c r="F123" s="237"/>
      <c r="G123" s="897" t="s">
        <v>321</v>
      </c>
      <c r="H123" s="1007"/>
      <c r="I123" s="1007"/>
      <c r="J123" s="1007"/>
      <c r="K123" s="1007"/>
      <c r="L123" s="939"/>
      <c r="M123" s="994"/>
      <c r="N123" s="1119" t="str">
        <f>IF(ISNUMBER(#REF!),#REF!,"")</f>
        <v/>
      </c>
      <c r="O123" s="1120"/>
      <c r="P123" s="1120"/>
      <c r="Q123" s="1120"/>
      <c r="R123" s="1121"/>
      <c r="S123" s="1121"/>
      <c r="T123" s="1121"/>
      <c r="U123" s="1121"/>
      <c r="V123" s="101"/>
      <c r="W123" s="101"/>
      <c r="X123" s="237"/>
      <c r="Y123" s="237"/>
      <c r="Z123" s="237"/>
      <c r="AA123" s="238"/>
      <c r="AB123" s="20"/>
      <c r="AC123" s="20"/>
      <c r="AD123" s="20"/>
      <c r="AE123" s="20"/>
      <c r="AF123" s="20"/>
      <c r="AG123" s="20"/>
      <c r="AH123" s="20"/>
      <c r="AI123" s="346"/>
    </row>
    <row r="124" spans="1:35">
      <c r="A124" s="346"/>
      <c r="B124" s="243"/>
      <c r="C124" s="237"/>
      <c r="D124" s="237"/>
      <c r="E124" s="237"/>
      <c r="F124" s="237"/>
      <c r="G124" s="897" t="s">
        <v>558</v>
      </c>
      <c r="H124" s="903"/>
      <c r="I124" s="903"/>
      <c r="J124" s="903"/>
      <c r="K124" s="903"/>
      <c r="L124" s="903"/>
      <c r="M124" s="903"/>
      <c r="N124" s="903"/>
      <c r="O124" s="903"/>
      <c r="P124" s="903"/>
      <c r="Q124" s="904"/>
      <c r="R124" s="900">
        <f>H207+S212</f>
        <v>0</v>
      </c>
      <c r="S124" s="901"/>
      <c r="T124" s="901"/>
      <c r="U124" s="902"/>
      <c r="V124" s="101"/>
      <c r="W124" s="101"/>
      <c r="X124" s="237"/>
      <c r="Y124" s="237"/>
      <c r="Z124" s="237"/>
      <c r="AA124" s="238"/>
      <c r="AB124" s="20"/>
      <c r="AC124" s="20"/>
      <c r="AD124" s="20"/>
      <c r="AE124" s="20"/>
      <c r="AF124" s="20"/>
      <c r="AG124" s="20"/>
      <c r="AH124" s="20"/>
      <c r="AI124" s="346"/>
    </row>
    <row r="125" spans="1:35" ht="13.5" thickBot="1">
      <c r="A125" s="346"/>
      <c r="B125" s="243"/>
      <c r="C125" s="237"/>
      <c r="D125" s="237"/>
      <c r="E125" s="237"/>
      <c r="F125" s="237"/>
      <c r="G125" s="897" t="s">
        <v>322</v>
      </c>
      <c r="H125" s="1007"/>
      <c r="I125" s="1007"/>
      <c r="J125" s="1007"/>
      <c r="K125" s="1007"/>
      <c r="L125" s="939"/>
      <c r="M125" s="994"/>
      <c r="N125" s="1119" t="str">
        <f>IF(ISNUMBER(#REF!),#REF!,"")</f>
        <v/>
      </c>
      <c r="O125" s="1120"/>
      <c r="P125" s="1120"/>
      <c r="Q125" s="1120"/>
      <c r="R125" s="1122">
        <f>County!D34</f>
        <v>5</v>
      </c>
      <c r="S125" s="1122"/>
      <c r="T125" s="1122"/>
      <c r="U125" s="1122"/>
      <c r="V125" s="101"/>
      <c r="W125" s="101"/>
      <c r="X125" s="237"/>
      <c r="Y125" s="237"/>
      <c r="Z125" s="237"/>
      <c r="AA125" s="238"/>
      <c r="AB125" s="20"/>
      <c r="AC125" s="20"/>
      <c r="AD125" s="20"/>
      <c r="AE125" s="20"/>
      <c r="AF125" s="20"/>
      <c r="AG125" s="20"/>
      <c r="AH125" s="20"/>
      <c r="AI125" s="346"/>
    </row>
    <row r="126" spans="1:35" ht="18" customHeight="1" thickTop="1">
      <c r="A126" s="346"/>
      <c r="B126" s="243"/>
      <c r="C126" s="237"/>
      <c r="D126" s="237"/>
      <c r="E126" s="237"/>
      <c r="F126" s="237"/>
      <c r="G126" s="897" t="s">
        <v>328</v>
      </c>
      <c r="H126" s="1007"/>
      <c r="I126" s="1007"/>
      <c r="J126" s="1007"/>
      <c r="K126" s="1007"/>
      <c r="L126" s="994"/>
      <c r="M126" s="994"/>
      <c r="N126" s="994"/>
      <c r="O126" s="994"/>
      <c r="P126" s="994"/>
      <c r="Q126" s="939"/>
      <c r="R126" s="1102">
        <f>SUM(R118:R125)</f>
        <v>5</v>
      </c>
      <c r="S126" s="1102"/>
      <c r="T126" s="1102"/>
      <c r="U126" s="1102"/>
      <c r="V126" s="565"/>
      <c r="W126" s="565"/>
      <c r="X126" s="237"/>
      <c r="Y126" s="237"/>
      <c r="Z126" s="237"/>
      <c r="AA126" s="238"/>
      <c r="AB126" s="20"/>
      <c r="AC126" s="20"/>
      <c r="AD126" s="20"/>
      <c r="AE126" s="20"/>
      <c r="AF126" s="20"/>
      <c r="AG126" s="20"/>
      <c r="AH126" s="20"/>
      <c r="AI126" s="346"/>
    </row>
    <row r="127" spans="1:35" ht="18" customHeight="1">
      <c r="A127" s="346"/>
      <c r="B127" s="243"/>
      <c r="C127" s="237"/>
      <c r="D127" s="237"/>
      <c r="E127" s="237"/>
      <c r="F127" s="237"/>
      <c r="G127" s="897" t="s">
        <v>572</v>
      </c>
      <c r="H127" s="1007"/>
      <c r="I127" s="1007"/>
      <c r="J127" s="1007"/>
      <c r="K127" s="1007"/>
      <c r="L127" s="994"/>
      <c r="M127" s="994"/>
      <c r="N127" s="994"/>
      <c r="O127" s="994"/>
      <c r="P127" s="994"/>
      <c r="Q127" s="939"/>
      <c r="R127" s="1102">
        <f>IF(ISNUMBER(T114),R126-T114,R126)</f>
        <v>5</v>
      </c>
      <c r="S127" s="1102"/>
      <c r="T127" s="1102"/>
      <c r="U127" s="1102"/>
      <c r="V127" s="783"/>
      <c r="W127" s="783"/>
      <c r="X127" s="237"/>
      <c r="Y127" s="237"/>
      <c r="Z127" s="237"/>
      <c r="AA127" s="238"/>
      <c r="AB127" s="20"/>
      <c r="AC127" s="20"/>
      <c r="AD127" s="20"/>
      <c r="AE127" s="20"/>
      <c r="AF127" s="20"/>
      <c r="AG127" s="20"/>
      <c r="AH127" s="20"/>
      <c r="AI127" s="346"/>
    </row>
    <row r="128" spans="1:35" ht="12.75" customHeight="1">
      <c r="A128" s="346"/>
      <c r="B128" s="243"/>
      <c r="C128" s="237"/>
      <c r="D128" s="237"/>
      <c r="E128" s="237"/>
      <c r="F128" s="237"/>
      <c r="G128" s="897"/>
      <c r="H128" s="1035"/>
      <c r="I128" s="1035"/>
      <c r="J128" s="1035"/>
      <c r="K128" s="1035"/>
      <c r="L128" s="1035"/>
      <c r="M128" s="1035"/>
      <c r="N128" s="1035"/>
      <c r="O128" s="1035"/>
      <c r="P128" s="1035"/>
      <c r="Q128" s="1035"/>
      <c r="R128" s="1035"/>
      <c r="S128" s="1035"/>
      <c r="T128" s="1035"/>
      <c r="U128" s="1035"/>
      <c r="V128" s="1035"/>
      <c r="W128" s="1035"/>
      <c r="X128" s="1035"/>
      <c r="Y128" s="1035"/>
      <c r="Z128" s="1035"/>
      <c r="AA128" s="904"/>
      <c r="AB128" s="20"/>
      <c r="AC128" s="20"/>
      <c r="AD128" s="20"/>
      <c r="AE128" s="20"/>
      <c r="AF128" s="20"/>
      <c r="AG128" s="20"/>
      <c r="AH128" s="20"/>
      <c r="AI128" s="346"/>
    </row>
    <row r="129" spans="1:35" ht="12.75" customHeight="1">
      <c r="A129" s="346"/>
      <c r="B129" s="243"/>
      <c r="C129" s="237"/>
      <c r="D129" s="237"/>
      <c r="E129" s="237"/>
      <c r="F129" s="237"/>
      <c r="G129" s="915" t="s">
        <v>407</v>
      </c>
      <c r="H129" s="915"/>
      <c r="I129" s="915"/>
      <c r="J129" s="915"/>
      <c r="K129" s="915"/>
      <c r="L129" s="994"/>
      <c r="M129" s="939"/>
      <c r="N129" s="1000">
        <f ca="1">IF(ISNUMBER(N130),N130,IF(OR(AND(MONTH(L32)=1,DAY(L32)=30),AND(MONTH(L32)=1,DAY(L32)=31),AND(MONTH(L32)=3,DAY(L32)=31),AND(MONTH(L32)=5,DAY(L32)=31),AND(MONTH(L32)=8,DAY(L32)=31),AND(MONTH(L32)=10,DAY(L32)=31)),L32+28,L32+31))</f>
        <v>42218</v>
      </c>
      <c r="O129" s="1001"/>
      <c r="P129" s="1001"/>
      <c r="Q129" s="1001"/>
      <c r="R129" s="1002"/>
      <c r="S129" s="1265"/>
      <c r="T129" s="916"/>
      <c r="U129" s="916"/>
      <c r="V129" s="916"/>
      <c r="W129" s="916"/>
      <c r="X129" s="237"/>
      <c r="Y129" s="237"/>
      <c r="Z129" s="237"/>
      <c r="AA129" s="604"/>
      <c r="AB129" s="20"/>
      <c r="AC129" s="20"/>
      <c r="AD129" s="20"/>
      <c r="AE129" s="20"/>
      <c r="AF129" s="20"/>
      <c r="AG129" s="20"/>
      <c r="AH129" s="20"/>
      <c r="AI129" s="636"/>
    </row>
    <row r="130" spans="1:35" ht="12.75" customHeight="1">
      <c r="A130" s="346"/>
      <c r="B130" s="243"/>
      <c r="C130" s="237"/>
      <c r="D130" s="237"/>
      <c r="E130" s="237"/>
      <c r="F130" s="237"/>
      <c r="G130" s="915" t="s">
        <v>408</v>
      </c>
      <c r="H130" s="915"/>
      <c r="I130" s="915"/>
      <c r="J130" s="915"/>
      <c r="K130" s="915"/>
      <c r="L130" s="994"/>
      <c r="M130" s="939"/>
      <c r="N130" s="1088"/>
      <c r="O130" s="1089"/>
      <c r="P130" s="1089"/>
      <c r="Q130" s="1089"/>
      <c r="R130" s="1090"/>
      <c r="S130" s="237"/>
      <c r="T130" s="237"/>
      <c r="U130" s="237"/>
      <c r="V130" s="237"/>
      <c r="W130" s="237"/>
      <c r="X130" s="237"/>
      <c r="Y130" s="237"/>
      <c r="Z130" s="237"/>
      <c r="AA130" s="238"/>
      <c r="AB130" s="20"/>
      <c r="AC130" s="20"/>
      <c r="AD130" s="20"/>
      <c r="AE130" s="20"/>
      <c r="AF130" s="20"/>
      <c r="AG130" s="20"/>
      <c r="AH130" s="20"/>
      <c r="AI130" s="637"/>
    </row>
    <row r="131" spans="1:35" ht="12.75" customHeight="1">
      <c r="A131" s="346"/>
      <c r="B131" s="245"/>
      <c r="C131" s="94"/>
      <c r="D131" s="94"/>
      <c r="E131" s="94"/>
      <c r="F131" s="94"/>
      <c r="G131" s="251"/>
      <c r="H131" s="251"/>
      <c r="I131" s="251"/>
      <c r="J131" s="251"/>
      <c r="K131" s="251"/>
      <c r="L131" s="296"/>
      <c r="M131" s="296"/>
      <c r="N131" s="296"/>
      <c r="O131" s="296"/>
      <c r="P131" s="281"/>
      <c r="Q131" s="94"/>
      <c r="R131" s="94"/>
      <c r="S131" s="94"/>
      <c r="T131" s="94"/>
      <c r="U131" s="94"/>
      <c r="V131" s="94"/>
      <c r="W131" s="94"/>
      <c r="X131" s="94"/>
      <c r="Y131" s="94"/>
      <c r="Z131" s="94"/>
      <c r="AA131" s="246"/>
      <c r="AB131" s="20"/>
      <c r="AC131" s="20"/>
      <c r="AD131" s="20"/>
      <c r="AE131" s="20"/>
      <c r="AF131" s="20"/>
      <c r="AG131" s="20"/>
      <c r="AH131" s="20"/>
      <c r="AI131" s="638"/>
    </row>
    <row r="132" spans="1:35" ht="23.25" customHeight="1">
      <c r="A132" s="346"/>
      <c r="B132" s="1124" t="str">
        <f>IF(AND(NOT(ISBLANK(U62)),NOT(ISBLANK(Y62))),"Both Father and Mother To Provide Medical Insurance.",IF(AND(ISBLANK(U62),ISBLANK(Y62)),"Medical Insurance Not Paid by Either Parent at Present (Check only if one parent to be responsible):",IF(NOT(ISBLANK(U62)),"Father To Provide Medical Insurance.",IF(NOT(ISBLANK(Y62)),"Mother To Provide Medical Insurance.","Medical Insurance."))))</f>
        <v>Medical Insurance Not Paid by Either Parent at Present (Check only if one parent to be responsible):</v>
      </c>
      <c r="C132" s="1125"/>
      <c r="D132" s="1125"/>
      <c r="E132" s="1125"/>
      <c r="F132" s="1125"/>
      <c r="G132" s="1125"/>
      <c r="H132" s="1125"/>
      <c r="I132" s="1126"/>
      <c r="J132" s="1126"/>
      <c r="K132" s="1126"/>
      <c r="L132" s="1126"/>
      <c r="M132" s="1126"/>
      <c r="N132" s="1126"/>
      <c r="O132" s="1126"/>
      <c r="P132" s="1126"/>
      <c r="Q132" s="1126"/>
      <c r="R132" s="1126"/>
      <c r="S132" s="1126"/>
      <c r="T132" s="1126"/>
      <c r="U132" s="1126"/>
      <c r="V132" s="1126"/>
      <c r="W132" s="1126"/>
      <c r="X132" s="1126"/>
      <c r="Y132" s="1126"/>
      <c r="Z132" s="1126"/>
      <c r="AA132" s="1127"/>
      <c r="AB132" s="20"/>
      <c r="AC132" s="20"/>
      <c r="AD132" s="20"/>
      <c r="AE132" s="20"/>
      <c r="AF132" s="20"/>
      <c r="AG132" s="20"/>
      <c r="AH132" s="20"/>
      <c r="AI132" s="638"/>
    </row>
    <row r="133" spans="1:35" ht="12.75" customHeight="1">
      <c r="A133" s="346"/>
      <c r="B133" s="243"/>
      <c r="C133" s="237"/>
      <c r="D133" s="237"/>
      <c r="E133" s="237"/>
      <c r="F133" s="237"/>
      <c r="G133" s="684" t="str">
        <f>IF(AND(ISBLANK(U62),ISBLANK(Y62),ISBLANK(H134),ISBLANK(H135)),"x","")</f>
        <v>x</v>
      </c>
      <c r="H133" s="915" t="str">
        <f>IF(AND(ISBLANK(U62),ISBLANK(Y62))," Both Father &amp; Mother responsible to provide when available at reasonable cost.","")</f>
        <v xml:space="preserve"> Both Father &amp; Mother responsible to provide when available at reasonable cost.</v>
      </c>
      <c r="I133" s="916"/>
      <c r="J133" s="916"/>
      <c r="K133" s="916"/>
      <c r="L133" s="916"/>
      <c r="M133" s="916"/>
      <c r="N133" s="916"/>
      <c r="O133" s="916"/>
      <c r="P133" s="916"/>
      <c r="Q133" s="916"/>
      <c r="R133" s="916"/>
      <c r="S133" s="916"/>
      <c r="T133" s="916"/>
      <c r="U133" s="916"/>
      <c r="V133" s="916"/>
      <c r="W133" s="916"/>
      <c r="X133" s="916"/>
      <c r="Y133" s="916"/>
      <c r="Z133" s="916"/>
      <c r="AA133" s="939"/>
      <c r="AB133" s="20"/>
      <c r="AC133" s="20"/>
      <c r="AD133" s="20"/>
      <c r="AE133" s="20"/>
      <c r="AF133" s="20"/>
      <c r="AG133" s="20"/>
      <c r="AH133" s="20"/>
      <c r="AI133" s="638"/>
    </row>
    <row r="134" spans="1:35" ht="12.75" customHeight="1">
      <c r="A134" s="346"/>
      <c r="B134" s="243"/>
      <c r="C134" s="237"/>
      <c r="D134" s="237"/>
      <c r="E134" s="237"/>
      <c r="F134" s="237"/>
      <c r="G134" s="438"/>
      <c r="H134" s="685"/>
      <c r="I134" s="584" t="str">
        <f>IF(AND(ISBLANK(U62),ISBLANK(Y62))," Father to provide when available at reasonable cost.","")</f>
        <v xml:space="preserve"> Father to provide when available at reasonable cost.</v>
      </c>
      <c r="J134" s="572"/>
      <c r="K134" s="572"/>
      <c r="L134" s="572"/>
      <c r="M134" s="572"/>
      <c r="N134" s="572"/>
      <c r="O134" s="572"/>
      <c r="P134" s="572"/>
      <c r="Q134" s="572"/>
      <c r="R134" s="572"/>
      <c r="S134" s="572"/>
      <c r="T134" s="572"/>
      <c r="U134" s="572"/>
      <c r="V134" s="572"/>
      <c r="W134" s="572"/>
      <c r="X134" s="572"/>
      <c r="Y134" s="572"/>
      <c r="Z134" s="572"/>
      <c r="AA134" s="442"/>
      <c r="AB134" s="20"/>
      <c r="AC134" s="20"/>
      <c r="AD134" s="20"/>
      <c r="AE134" s="20"/>
      <c r="AF134" s="20"/>
      <c r="AG134" s="20"/>
      <c r="AH134" s="20"/>
      <c r="AI134" s="638"/>
    </row>
    <row r="135" spans="1:35" ht="12.75" customHeight="1">
      <c r="A135" s="346"/>
      <c r="B135" s="243"/>
      <c r="C135" s="237"/>
      <c r="D135" s="237"/>
      <c r="E135" s="237"/>
      <c r="F135" s="237"/>
      <c r="G135" s="438"/>
      <c r="H135" s="685"/>
      <c r="I135" s="584" t="str">
        <f>IF(AND(ISBLANK(U62),ISBLANK(Y62))," Mother to provide when available at reasonable cost.","")</f>
        <v xml:space="preserve"> Mother to provide when available at reasonable cost.</v>
      </c>
      <c r="J135" s="572"/>
      <c r="K135" s="572"/>
      <c r="L135" s="572"/>
      <c r="M135" s="572"/>
      <c r="N135" s="572"/>
      <c r="O135" s="572"/>
      <c r="P135" s="572"/>
      <c r="Q135" s="572"/>
      <c r="R135" s="572"/>
      <c r="S135" s="572"/>
      <c r="T135" s="572"/>
      <c r="U135" s="572"/>
      <c r="V135" s="572"/>
      <c r="W135" s="572"/>
      <c r="X135" s="572"/>
      <c r="Y135" s="572"/>
      <c r="Z135" s="572"/>
      <c r="AA135" s="442"/>
      <c r="AB135" s="20"/>
      <c r="AC135" s="20"/>
      <c r="AD135" s="20"/>
      <c r="AE135" s="20"/>
      <c r="AF135" s="20"/>
      <c r="AG135" s="20"/>
      <c r="AH135" s="20"/>
      <c r="AI135" s="638"/>
    </row>
    <row r="136" spans="1:35" ht="12.75" customHeight="1">
      <c r="A136" s="346"/>
      <c r="B136" s="235"/>
      <c r="C136" s="578"/>
      <c r="D136" s="578"/>
      <c r="E136" s="578"/>
      <c r="F136" s="578"/>
      <c r="G136" s="578"/>
      <c r="H136" s="686">
        <f>IF(AND(ISBLANK(H134),ISBLANK(H135)),0,IF(OR(AND(NOT(ISBLANK(H134)),ISBLANK(H135)),AND(NOT(ISBLANK(H135)),ISBLANK(H134))),1,2))</f>
        <v>0</v>
      </c>
      <c r="I136" s="578"/>
      <c r="J136" s="578"/>
      <c r="K136" s="578"/>
      <c r="L136" s="578"/>
      <c r="M136" s="578"/>
      <c r="N136" s="578"/>
      <c r="O136" s="578"/>
      <c r="P136" s="578"/>
      <c r="Q136" s="578"/>
      <c r="R136" s="1097" t="str">
        <f>IF(OR(ISNUMBER(P41),ISNUMBER(R41),ISNUMBER(T41),ISNUMBER(V41),ISNUMBER(X41),ISNUMBER(Z41)),"Dates of Birth For All Children Not Listed--Tax Table Must Be Customized","")</f>
        <v/>
      </c>
      <c r="S136" s="1098"/>
      <c r="T136" s="1098"/>
      <c r="U136" s="1098"/>
      <c r="V136" s="1098"/>
      <c r="W136" s="1098"/>
      <c r="X136" s="1098"/>
      <c r="Y136" s="1098"/>
      <c r="Z136" s="1098"/>
      <c r="AA136" s="1099"/>
      <c r="AB136" s="20"/>
      <c r="AC136" s="20"/>
      <c r="AD136" s="20"/>
      <c r="AE136" s="20"/>
      <c r="AF136" s="20"/>
      <c r="AG136" s="20"/>
      <c r="AH136" s="20"/>
      <c r="AI136" s="346"/>
    </row>
    <row r="137" spans="1:35" ht="12.75" customHeight="1">
      <c r="A137" s="346"/>
      <c r="B137" s="562" t="s">
        <v>212</v>
      </c>
      <c r="C137" s="578"/>
      <c r="D137" s="578"/>
      <c r="E137" s="578"/>
      <c r="F137" s="578"/>
      <c r="G137" s="1115"/>
      <c r="H137" s="1116"/>
      <c r="I137" s="910" t="str">
        <f>IF(ISBLANK(G137),U69,G137)</f>
        <v/>
      </c>
      <c r="J137" s="911"/>
      <c r="K137" s="1118" t="s">
        <v>6</v>
      </c>
      <c r="L137" s="1035"/>
      <c r="M137" s="221"/>
      <c r="N137" s="1096" t="str">
        <f>IF(NOT(ISNUMBER(I137)),"",IF(ISBLANK(G137),1-I137,1-G137))</f>
        <v/>
      </c>
      <c r="O137" s="1096"/>
      <c r="P137" s="559" t="s">
        <v>7</v>
      </c>
      <c r="Q137" s="568"/>
      <c r="R137" s="1098"/>
      <c r="S137" s="1098"/>
      <c r="T137" s="1098"/>
      <c r="U137" s="1098"/>
      <c r="V137" s="1098"/>
      <c r="W137" s="1098"/>
      <c r="X137" s="1098"/>
      <c r="Y137" s="1098"/>
      <c r="Z137" s="1098"/>
      <c r="AA137" s="1099"/>
      <c r="AB137" s="20"/>
      <c r="AC137" s="20"/>
      <c r="AD137" s="20"/>
      <c r="AE137" s="20"/>
      <c r="AF137" s="20"/>
      <c r="AG137" s="20"/>
      <c r="AH137" s="20"/>
      <c r="AI137" s="346"/>
    </row>
    <row r="138" spans="1:35" ht="12.75" customHeight="1">
      <c r="A138" s="346"/>
      <c r="B138" s="235"/>
      <c r="C138" s="578"/>
      <c r="D138" s="578"/>
      <c r="E138" s="578"/>
      <c r="F138" s="578"/>
      <c r="G138" s="252"/>
      <c r="H138" s="578"/>
      <c r="I138" s="578"/>
      <c r="J138" s="578"/>
      <c r="K138" s="578"/>
      <c r="L138" s="578"/>
      <c r="M138" s="578"/>
      <c r="N138" s="578"/>
      <c r="O138" s="578"/>
      <c r="P138" s="578"/>
      <c r="Q138" s="578"/>
      <c r="R138" s="1098"/>
      <c r="S138" s="1098"/>
      <c r="T138" s="1098"/>
      <c r="U138" s="1098"/>
      <c r="V138" s="1098"/>
      <c r="W138" s="1098"/>
      <c r="X138" s="1098"/>
      <c r="Y138" s="1098"/>
      <c r="Z138" s="1098"/>
      <c r="AA138" s="1099"/>
      <c r="AB138" s="20"/>
      <c r="AC138" s="20"/>
      <c r="AD138" s="20"/>
      <c r="AE138" s="20"/>
      <c r="AF138" s="20"/>
      <c r="AG138" s="20"/>
      <c r="AH138" s="20"/>
      <c r="AI138" s="346"/>
    </row>
    <row r="139" spans="1:35" ht="12.75" customHeight="1">
      <c r="A139" s="346"/>
      <c r="B139" s="562" t="s">
        <v>213</v>
      </c>
      <c r="C139" s="578"/>
      <c r="D139" s="578"/>
      <c r="E139" s="578"/>
      <c r="F139" s="578"/>
      <c r="G139" s="1115"/>
      <c r="H139" s="1116"/>
      <c r="I139" s="910" t="str">
        <f>IF(ISBLANK(G139),U69,G139)</f>
        <v/>
      </c>
      <c r="J139" s="911"/>
      <c r="K139" s="1118" t="s">
        <v>6</v>
      </c>
      <c r="L139" s="1035"/>
      <c r="M139" s="221"/>
      <c r="N139" s="1096" t="str">
        <f>IF(NOT(ISNUMBER(I139)),"",IF(ISBLANK(G139),1-I139,1-G139))</f>
        <v/>
      </c>
      <c r="O139" s="1096"/>
      <c r="P139" s="559" t="s">
        <v>7</v>
      </c>
      <c r="Q139" s="568"/>
      <c r="R139" s="1098"/>
      <c r="S139" s="1098"/>
      <c r="T139" s="1098"/>
      <c r="U139" s="1098"/>
      <c r="V139" s="1098"/>
      <c r="W139" s="1098"/>
      <c r="X139" s="1098"/>
      <c r="Y139" s="1098"/>
      <c r="Z139" s="1098"/>
      <c r="AA139" s="1099"/>
      <c r="AB139" s="20"/>
      <c r="AC139" s="20"/>
      <c r="AD139" s="20"/>
      <c r="AE139" s="20"/>
      <c r="AF139" s="20"/>
      <c r="AG139" s="20"/>
      <c r="AH139" s="20"/>
      <c r="AI139" s="346"/>
    </row>
    <row r="140" spans="1:35" ht="12.75" customHeight="1">
      <c r="A140" s="346"/>
      <c r="B140" s="239"/>
      <c r="C140" s="240"/>
      <c r="D140" s="240"/>
      <c r="E140" s="240"/>
      <c r="F140" s="240"/>
      <c r="G140" s="240"/>
      <c r="H140" s="240"/>
      <c r="I140" s="240"/>
      <c r="J140" s="240"/>
      <c r="K140" s="240"/>
      <c r="L140" s="240"/>
      <c r="M140" s="240"/>
      <c r="N140" s="240"/>
      <c r="O140" s="240"/>
      <c r="P140" s="240"/>
      <c r="Q140" s="240"/>
      <c r="R140" s="1100"/>
      <c r="S140" s="1100"/>
      <c r="T140" s="1100"/>
      <c r="U140" s="1100"/>
      <c r="V140" s="1100"/>
      <c r="W140" s="1100"/>
      <c r="X140" s="1100"/>
      <c r="Y140" s="1100"/>
      <c r="Z140" s="1100"/>
      <c r="AA140" s="1101"/>
      <c r="AB140" s="20"/>
      <c r="AC140" s="20"/>
      <c r="AD140" s="20"/>
      <c r="AE140" s="20"/>
      <c r="AF140" s="20"/>
      <c r="AG140" s="20"/>
      <c r="AH140" s="20"/>
      <c r="AI140" s="346"/>
    </row>
    <row r="141" spans="1:35" ht="12.75" customHeight="1">
      <c r="A141" s="346"/>
      <c r="B141" s="235"/>
      <c r="C141" s="578"/>
      <c r="D141" s="578"/>
      <c r="E141" s="578"/>
      <c r="F141" s="578"/>
      <c r="G141" s="578"/>
      <c r="H141" s="578"/>
      <c r="I141" s="578"/>
      <c r="J141" s="578"/>
      <c r="K141" s="578"/>
      <c r="L141" s="578"/>
      <c r="M141" s="578"/>
      <c r="N141" s="578"/>
      <c r="O141" s="578"/>
      <c r="P141" s="578"/>
      <c r="Q141" s="578"/>
      <c r="R141" s="578"/>
      <c r="S141" s="578"/>
      <c r="T141" s="578"/>
      <c r="U141" s="664"/>
      <c r="V141" s="665"/>
      <c r="W141" s="665"/>
      <c r="X141" s="665"/>
      <c r="Y141" s="665"/>
      <c r="Z141" s="665"/>
      <c r="AA141" s="666"/>
      <c r="AB141" s="20"/>
      <c r="AC141" s="20"/>
      <c r="AD141" s="20"/>
      <c r="AE141" s="20"/>
      <c r="AF141" s="20"/>
      <c r="AG141" s="20"/>
      <c r="AH141" s="20"/>
      <c r="AI141" s="346"/>
    </row>
    <row r="142" spans="1:35" ht="12.75" customHeight="1">
      <c r="A142" s="346"/>
      <c r="B142" s="658" t="s">
        <v>426</v>
      </c>
      <c r="C142" s="660"/>
      <c r="D142" s="660"/>
      <c r="E142" s="660"/>
      <c r="F142" s="660"/>
      <c r="G142" s="660"/>
      <c r="H142" s="660"/>
      <c r="I142" s="660"/>
      <c r="J142" s="660"/>
      <c r="K142" s="587" t="str">
        <f>IF(NOT(ISBLANK(K143)),"","x")</f>
        <v>x</v>
      </c>
      <c r="L142" s="667" t="s">
        <v>427</v>
      </c>
      <c r="M142" s="659"/>
      <c r="N142" s="659"/>
      <c r="O142" s="659"/>
      <c r="P142" s="659"/>
      <c r="Q142" s="659"/>
      <c r="R142" s="659"/>
      <c r="S142" s="659"/>
      <c r="T142" s="659"/>
      <c r="U142" s="659"/>
      <c r="V142" s="659"/>
      <c r="W142" s="659"/>
      <c r="X142" s="659"/>
      <c r="Y142" s="659"/>
      <c r="Z142" s="659"/>
      <c r="AA142" s="663"/>
      <c r="AB142" s="20"/>
      <c r="AC142" s="20"/>
      <c r="AD142" s="20"/>
      <c r="AE142" s="20"/>
      <c r="AF142" s="20"/>
      <c r="AG142" s="20"/>
      <c r="AH142" s="20"/>
      <c r="AI142" s="346"/>
    </row>
    <row r="143" spans="1:35" ht="12.75" customHeight="1">
      <c r="A143" s="346"/>
      <c r="B143" s="658"/>
      <c r="C143" s="660"/>
      <c r="D143" s="660"/>
      <c r="E143" s="660"/>
      <c r="F143" s="660"/>
      <c r="G143" s="660"/>
      <c r="H143" s="660"/>
      <c r="I143" s="660"/>
      <c r="J143" s="660"/>
      <c r="K143" s="437"/>
      <c r="L143" s="668" t="s">
        <v>428</v>
      </c>
      <c r="M143" s="669"/>
      <c r="N143" s="669"/>
      <c r="O143" s="669"/>
      <c r="P143" s="670"/>
      <c r="Q143" s="671"/>
      <c r="R143" s="671"/>
      <c r="S143" s="671"/>
      <c r="T143" s="671"/>
      <c r="U143" s="671"/>
      <c r="V143" s="671"/>
      <c r="W143" s="671"/>
      <c r="X143" s="671"/>
      <c r="Y143" s="671"/>
      <c r="Z143" s="671"/>
      <c r="AA143" s="663"/>
      <c r="AB143" s="20"/>
      <c r="AC143" s="20"/>
      <c r="AD143" s="20"/>
      <c r="AE143" s="20"/>
      <c r="AF143" s="20"/>
      <c r="AG143" s="20"/>
      <c r="AH143" s="20"/>
      <c r="AI143" s="346"/>
    </row>
    <row r="144" spans="1:35" ht="12.75" customHeight="1">
      <c r="A144" s="346"/>
      <c r="B144" s="235"/>
      <c r="C144" s="660"/>
      <c r="D144" s="660"/>
      <c r="E144" s="660"/>
      <c r="F144" s="660"/>
      <c r="G144" s="660"/>
      <c r="H144" s="660"/>
      <c r="I144" s="660"/>
      <c r="J144" s="660"/>
      <c r="K144" s="660"/>
      <c r="L144" s="660"/>
      <c r="M144" s="660"/>
      <c r="N144" s="660"/>
      <c r="O144" s="660"/>
      <c r="P144" s="660"/>
      <c r="Q144" s="660"/>
      <c r="R144" s="660"/>
      <c r="S144" s="660"/>
      <c r="T144" s="660"/>
      <c r="U144" s="662"/>
      <c r="V144" s="452"/>
      <c r="W144" s="452"/>
      <c r="X144" s="452"/>
      <c r="Y144" s="452"/>
      <c r="Z144" s="452"/>
      <c r="AA144" s="663"/>
      <c r="AB144" s="20"/>
      <c r="AC144" s="20"/>
      <c r="AD144" s="20"/>
      <c r="AE144" s="20"/>
      <c r="AF144" s="20"/>
      <c r="AG144" s="20"/>
      <c r="AH144" s="20"/>
      <c r="AI144" s="346"/>
    </row>
    <row r="145" spans="1:36" ht="12.75" customHeight="1">
      <c r="A145" s="346"/>
      <c r="B145" s="562" t="s">
        <v>215</v>
      </c>
      <c r="C145" s="578"/>
      <c r="D145" s="578"/>
      <c r="E145" s="578"/>
      <c r="F145" s="578"/>
      <c r="G145" s="578"/>
      <c r="H145" s="578"/>
      <c r="I145" s="237"/>
      <c r="J145" s="237"/>
      <c r="K145" s="326" t="str">
        <f>IF(OR(NOT(ISBLANK(L145)),AND(NOT(ISNUMBER(P39)),ISNUMBER(P41)),AND(NOT(ISNUMBER(R39)),ISNUMBER(R41)),AND(NOT(ISNUMBER(T39)),ISNUMBER(T41)),AND(NOT(ISNUMBER(V39)),ISNUMBER(V41)),AND(NOT(ISNUMBER(X39)),ISNUMBER(X41)),AND(NOT(ISNUMBER(Z39)),ISNUMBER(Z41))),"x","")</f>
        <v/>
      </c>
      <c r="L145" s="437"/>
      <c r="M145" s="559" t="s">
        <v>214</v>
      </c>
      <c r="N145" s="578"/>
      <c r="O145" s="578"/>
      <c r="P145" s="578"/>
      <c r="Q145" s="578"/>
      <c r="R145" s="578"/>
      <c r="S145" s="578"/>
      <c r="T145" s="578"/>
      <c r="U145" s="452"/>
      <c r="V145" s="452"/>
      <c r="W145" s="452"/>
      <c r="X145" s="452"/>
      <c r="Y145" s="452"/>
      <c r="Z145" s="452"/>
      <c r="AA145" s="663"/>
      <c r="AB145" s="20"/>
      <c r="AC145" s="20"/>
      <c r="AD145" s="20"/>
      <c r="AE145" s="20"/>
      <c r="AF145" s="20"/>
      <c r="AG145" s="20"/>
      <c r="AH145" s="20"/>
      <c r="AI145" s="346"/>
    </row>
    <row r="146" spans="1:36">
      <c r="A146" s="346"/>
      <c r="B146" s="562"/>
      <c r="D146" s="578"/>
      <c r="E146" s="578"/>
      <c r="F146" s="578"/>
      <c r="G146" s="578"/>
      <c r="H146" s="578"/>
      <c r="I146" s="578"/>
      <c r="J146" s="578"/>
      <c r="K146" s="578"/>
      <c r="L146" s="578"/>
      <c r="M146" s="578"/>
      <c r="N146" s="578"/>
      <c r="O146" s="578"/>
      <c r="P146" s="578"/>
      <c r="Q146" s="578"/>
      <c r="R146" s="578"/>
      <c r="S146" s="578"/>
      <c r="T146" s="578"/>
      <c r="U146" s="452"/>
      <c r="V146" s="452"/>
      <c r="W146" s="452"/>
      <c r="X146" s="452"/>
      <c r="Y146" s="452"/>
      <c r="Z146" s="452"/>
      <c r="AA146" s="663"/>
      <c r="AB146" s="20"/>
      <c r="AC146" s="20"/>
      <c r="AD146" s="20"/>
      <c r="AE146" s="20"/>
      <c r="AF146" s="20"/>
      <c r="AG146" s="20"/>
      <c r="AH146" s="20"/>
      <c r="AI146" s="346"/>
    </row>
    <row r="147" spans="1:36">
      <c r="A147" s="346"/>
      <c r="B147" s="562"/>
      <c r="C147" s="578"/>
      <c r="D147" s="578"/>
      <c r="E147" s="1112" t="s">
        <v>159</v>
      </c>
      <c r="F147" s="1113"/>
      <c r="G147" s="1113"/>
      <c r="H147" s="1095"/>
      <c r="I147" s="1009" t="s">
        <v>113</v>
      </c>
      <c r="J147" s="1010"/>
      <c r="K147" s="1011"/>
      <c r="L147" s="995" t="s">
        <v>165</v>
      </c>
      <c r="M147" s="996"/>
      <c r="N147" s="996"/>
      <c r="O147" s="996"/>
      <c r="P147" s="996"/>
      <c r="Q147" s="997"/>
      <c r="R147" s="997"/>
      <c r="S147" s="997"/>
      <c r="T147" s="997"/>
      <c r="U147" s="997"/>
      <c r="V147" s="997"/>
      <c r="W147" s="997"/>
      <c r="X147" s="997"/>
      <c r="Y147" s="998"/>
      <c r="Z147" s="999"/>
      <c r="AA147" s="238"/>
      <c r="AB147" s="20"/>
      <c r="AC147" s="20"/>
      <c r="AD147" s="20"/>
      <c r="AE147" s="20"/>
      <c r="AF147" s="20"/>
      <c r="AG147" s="20"/>
      <c r="AH147" s="20"/>
      <c r="AI147" s="346"/>
    </row>
    <row r="148" spans="1:36">
      <c r="A148" s="346"/>
      <c r="B148" s="774" t="s">
        <v>570</v>
      </c>
      <c r="C148" s="762"/>
      <c r="D148" s="768"/>
      <c r="E148" s="1113"/>
      <c r="F148" s="1113"/>
      <c r="G148" s="1113"/>
      <c r="H148" s="1095"/>
      <c r="I148" s="1012"/>
      <c r="J148" s="1013"/>
      <c r="K148" s="1014"/>
      <c r="L148" s="1123">
        <f ca="1">YEAR(TODAY())</f>
        <v>2015</v>
      </c>
      <c r="M148" s="1095"/>
      <c r="N148" s="1095"/>
      <c r="O148" s="1094" t="str">
        <f>IF(NOT(ISNUMBER(I149)),"",IF(L148+1&lt;=YEAR(MAX(I149:I154))+18,L148+1,""))</f>
        <v/>
      </c>
      <c r="P148" s="1095"/>
      <c r="Q148" s="1095"/>
      <c r="R148" s="1094" t="str">
        <f>IF(OR(NOT(ISNUMBER(I149)),Tax!E15=0.5),"",IF(L148+2&lt;=YEAR(MAX(I149:I154))+18,L148+2,""))</f>
        <v/>
      </c>
      <c r="S148" s="1095"/>
      <c r="T148" s="1095"/>
      <c r="U148" s="1094" t="str">
        <f>IF(OR(NOT(ISNUMBER(I149)),Tax!E15=0.7,Tax!E15=0.5,Tax!E15=0.3),"",IF(L148+3&lt;=YEAR(MAX(I149:I154))+18,L148+3,""))</f>
        <v/>
      </c>
      <c r="V148" s="1095"/>
      <c r="W148" s="1095"/>
      <c r="X148" s="1094" t="str">
        <f>IF(OR(NOT(ISNUMBER(I149)),Tax!E15=0.75,Tax!E15=0.7,Tax!E15=0.5,Tax!E15=0.3,Tax!E15=0.25),"",IF(L148+4&lt;=YEAR(MAX(I149:I154))+18,L148+4,""))</f>
        <v/>
      </c>
      <c r="Y148" s="1095"/>
      <c r="Z148" s="1095"/>
      <c r="AA148" s="238"/>
      <c r="AB148" s="20"/>
      <c r="AC148" s="20"/>
      <c r="AD148" s="20"/>
      <c r="AE148" s="20"/>
      <c r="AF148" s="20"/>
      <c r="AG148" s="20"/>
      <c r="AH148" s="20"/>
      <c r="AI148" s="346"/>
    </row>
    <row r="149" spans="1:36">
      <c r="A149" s="346"/>
      <c r="B149" s="760" t="s">
        <v>30</v>
      </c>
      <c r="C149" s="762"/>
      <c r="D149" s="768">
        <f>COUNTIF(L149:Z154,"Father")</f>
        <v>0</v>
      </c>
      <c r="E149" s="1114" t="str">
        <f>IF(AND(ISBLANK(F18),ISNUMBER(I149),I149=MIN(I149:I154)),"Oldest Child",IF(AND(ISBLANK(F18),ISNUMBER(I149),I149=MAX(I149:I154)),"Youngest Child",IF(AND(ISBLANK(F18),ISNUMBER(I149)),"Child 1",IF(NOT(ISBLANK(F18)),F18,""))))</f>
        <v/>
      </c>
      <c r="F149" s="909"/>
      <c r="G149" s="909"/>
      <c r="H149" s="909"/>
      <c r="I149" s="908" t="str">
        <f t="shared" ref="I149:I154" si="5">IF(NOT(ISBLANK(M18)),M18,IF(AND(ISBLANK(M18),ISNUMBER(S18)),"unknown",""))</f>
        <v/>
      </c>
      <c r="J149" s="909"/>
      <c r="K149" s="909"/>
      <c r="L149" s="1303" t="str">
        <f>IF(NOT(ISNUMBER(I149)),"",IF(L148&lt;=YEAR(I149)+18,VLOOKUP(Tax!D13,Tax!D27:J331,3,FALSE),""))</f>
        <v/>
      </c>
      <c r="M149" s="1304"/>
      <c r="N149" s="1160"/>
      <c r="O149" s="1128" t="str">
        <f>IF(NOT(ISNUMBER(I149)),"",IF(O148&lt;=YEAR(I149)+18,VLOOKUP(Tax!D13,Tax!D27:J331,4,FALSE),""))</f>
        <v/>
      </c>
      <c r="P149" s="1131"/>
      <c r="Q149" s="1132"/>
      <c r="R149" s="1128" t="str">
        <f>IF(NOT(ISNUMBER(I149)),"",IF(R148&lt;=YEAR(I149)+18,VLOOKUP(Tax!D13,Tax!D27:J331,5,FALSE),""))</f>
        <v/>
      </c>
      <c r="S149" s="1131"/>
      <c r="T149" s="1132"/>
      <c r="U149" s="1128" t="str">
        <f>IF(NOT(ISNUMBER(I149)),"",IF(U148&lt;=YEAR(I149)+18,VLOOKUP(Tax!D13,Tax!D27:J331,6,FALSE),""))</f>
        <v/>
      </c>
      <c r="V149" s="1129"/>
      <c r="W149" s="1130"/>
      <c r="X149" s="1128" t="str">
        <f>IF(NOT(ISNUMBER(I149)),"",IF(X148&lt;=YEAR(I149)+18,VLOOKUP(Tax!D13,Tax!D27:J331,7,FALSE),""))</f>
        <v/>
      </c>
      <c r="Y149" s="1131"/>
      <c r="Z149" s="1132"/>
      <c r="AA149" s="238"/>
      <c r="AB149" s="20"/>
      <c r="AC149" s="20"/>
      <c r="AD149" s="20"/>
      <c r="AE149" s="20"/>
      <c r="AF149" s="20"/>
      <c r="AG149" s="20"/>
      <c r="AH149" s="20"/>
      <c r="AI149" s="346"/>
    </row>
    <row r="150" spans="1:36">
      <c r="A150" s="346"/>
      <c r="B150" s="760" t="s">
        <v>31</v>
      </c>
      <c r="C150" s="762"/>
      <c r="D150" s="769">
        <f>COUNTIF(L149:Z154,"Mother")</f>
        <v>0</v>
      </c>
      <c r="E150" s="1114" t="str">
        <f>IF(AND(ISBLANK(F19),ISNUMBER(I150),I150=MIN(I149:I154)),"Oldest Child",IF(AND(ISBLANK(F19),ISNUMBER(I150),I150=MAX(I149:I154)),"Youngest Child",IF(AND(ISBLANK(F19),ISNUMBER(I150)),"Child 2",IF(NOT(ISBLANK(F19)),F19,""))))</f>
        <v/>
      </c>
      <c r="F150" s="909"/>
      <c r="G150" s="909"/>
      <c r="H150" s="909"/>
      <c r="I150" s="908" t="str">
        <f t="shared" si="5"/>
        <v/>
      </c>
      <c r="J150" s="909"/>
      <c r="K150" s="909"/>
      <c r="L150" s="1128" t="str">
        <f>IF(NOT(ISNUMBER(I150)),"",IF(L148&lt;=YEAR(I150)+18,VLOOKUP(Tax!D13+1,Tax!D27:J331,3,FALSE),""))</f>
        <v/>
      </c>
      <c r="M150" s="1131"/>
      <c r="N150" s="1132"/>
      <c r="O150" s="1128" t="str">
        <f>IF(NOT(ISNUMBER(I150)),"",IF(O148&lt;=YEAR(I150)+18,VLOOKUP(Tax!D13+1,Tax!D27:J331,4,FALSE),""))</f>
        <v/>
      </c>
      <c r="P150" s="1131"/>
      <c r="Q150" s="1132"/>
      <c r="R150" s="1128" t="str">
        <f>IF(NOT(ISNUMBER(I150)),"",IF(R148&lt;=YEAR(I150)+18,VLOOKUP(Tax!D13+1,Tax!D27:J331,5,FALSE),""))</f>
        <v/>
      </c>
      <c r="S150" s="1131"/>
      <c r="T150" s="1132"/>
      <c r="U150" s="1128" t="str">
        <f>IF(NOT(ISNUMBER(I150)),"",IF(U148&lt;=YEAR(I150)+18,VLOOKUP(Tax!D13+1,Tax!D27:J331,6,FALSE),""))</f>
        <v/>
      </c>
      <c r="V150" s="1129"/>
      <c r="W150" s="1130"/>
      <c r="X150" s="1128" t="str">
        <f>IF(NOT(ISNUMBER(I150)),"",IF(X148&lt;=YEAR(I150)+18,VLOOKUP(Tax!D13+1,Tax!D27:J331,7,FALSE),""))</f>
        <v/>
      </c>
      <c r="Y150" s="1131"/>
      <c r="Z150" s="1132"/>
      <c r="AA150" s="238"/>
      <c r="AB150" s="20"/>
      <c r="AC150" s="20"/>
      <c r="AD150" s="20"/>
      <c r="AE150" s="20"/>
      <c r="AF150" s="20"/>
      <c r="AG150" s="20"/>
      <c r="AH150" s="20"/>
      <c r="AI150" s="346"/>
    </row>
    <row r="151" spans="1:36">
      <c r="A151" s="346"/>
      <c r="B151" s="895" t="s">
        <v>569</v>
      </c>
      <c r="C151" s="896"/>
      <c r="D151" s="761">
        <f>D149+D150</f>
        <v>0</v>
      </c>
      <c r="E151" s="1114" t="str">
        <f>IF(AND(ISBLANK(F20),ISNUMBER(I151),I151=MIN(I149:I154)),"Oldest Child",IF(AND(ISBLANK(F20),ISNUMBER(I151),I151=MAX(I149:I154)),"Youngest Child",IF(AND(ISBLANK(F20),ISNUMBER(I151)),"Child 3",IF(NOT(ISBLANK(F20)),F20,""))))</f>
        <v/>
      </c>
      <c r="F151" s="909"/>
      <c r="G151" s="909"/>
      <c r="H151" s="909"/>
      <c r="I151" s="908" t="str">
        <f t="shared" si="5"/>
        <v/>
      </c>
      <c r="J151" s="909"/>
      <c r="K151" s="909"/>
      <c r="L151" s="1128" t="str">
        <f>IF(NOT(ISNUMBER(I151)),"",IF(L148&lt;=YEAR(I151)+18,VLOOKUP(Tax!D13+2,Tax!D27:J331,3,FALSE),""))</f>
        <v/>
      </c>
      <c r="M151" s="1131"/>
      <c r="N151" s="1132"/>
      <c r="O151" s="1128" t="str">
        <f>IF(NOT(ISNUMBER(I151)),"",IF(O148&lt;=YEAR(I151)+18,VLOOKUP(Tax!D13+2,Tax!D27:J331,4,FALSE),""))</f>
        <v/>
      </c>
      <c r="P151" s="1131"/>
      <c r="Q151" s="1132"/>
      <c r="R151" s="1128" t="str">
        <f>IF(NOT(ISNUMBER(I151)),"",IF(R148&lt;=YEAR(I151)+18,VLOOKUP(Tax!D13+2,Tax!D27:J331,5,FALSE),""))</f>
        <v/>
      </c>
      <c r="S151" s="1131"/>
      <c r="T151" s="1132"/>
      <c r="U151" s="1128" t="str">
        <f>IF(NOT(ISNUMBER(I151)),"",IF(U148&lt;=YEAR(I151)+18,VLOOKUP(Tax!D13+2,Tax!D27:J331,6,FALSE),""))</f>
        <v/>
      </c>
      <c r="V151" s="1129"/>
      <c r="W151" s="1130"/>
      <c r="X151" s="1128" t="str">
        <f>IF(NOT(ISNUMBER(I151)),"",IF(X148&lt;=YEAR(I151)+18,VLOOKUP(Tax!D13+2,Tax!D27:J331,7,FALSE),""))</f>
        <v/>
      </c>
      <c r="Y151" s="1131"/>
      <c r="Z151" s="1132"/>
      <c r="AA151" s="238"/>
      <c r="AB151" s="20"/>
      <c r="AC151" s="20"/>
      <c r="AD151" s="20"/>
      <c r="AE151" s="20"/>
      <c r="AF151" s="20"/>
      <c r="AG151" s="20"/>
      <c r="AH151" s="20"/>
      <c r="AI151" s="346"/>
    </row>
    <row r="152" spans="1:36">
      <c r="A152" s="346"/>
      <c r="B152" s="763"/>
      <c r="C152" s="346"/>
      <c r="D152" s="765"/>
      <c r="E152" s="1114" t="str">
        <f>IF(AND(ISBLANK(F21),ISNUMBER(I152),I152=MIN(I149:I154)),"Oldest Child",IF(AND(ISBLANK(F21),ISNUMBER(I152),I152=MAX(I149:I154)),"Youngest Child",IF(AND(ISBLANK(F21),ISNUMBER(I152)),"Child 4",IF(NOT(ISBLANK(F21)),F21,""))))</f>
        <v/>
      </c>
      <c r="F152" s="909"/>
      <c r="G152" s="909"/>
      <c r="H152" s="909"/>
      <c r="I152" s="908" t="str">
        <f t="shared" si="5"/>
        <v/>
      </c>
      <c r="J152" s="909"/>
      <c r="K152" s="909"/>
      <c r="L152" s="1128" t="str">
        <f>IF(NOT(ISNUMBER(I152)),"",IF(L148&lt;=YEAR(I152)+18,VLOOKUP(Tax!D13+3,Tax!D27:J331,3,FALSE),""))</f>
        <v/>
      </c>
      <c r="M152" s="1131"/>
      <c r="N152" s="1132"/>
      <c r="O152" s="1128" t="str">
        <f>IF(NOT(ISNUMBER(I152)),"",IF(O148&lt;=YEAR(I152)+18,VLOOKUP(Tax!D13+3,Tax!D27:J331,4,FALSE),""))</f>
        <v/>
      </c>
      <c r="P152" s="1131"/>
      <c r="Q152" s="1132"/>
      <c r="R152" s="1128" t="str">
        <f>IF(NOT(ISNUMBER(I152)),"",IF(R148&lt;=YEAR(I152)+18,VLOOKUP(Tax!D13+3,Tax!D27:J331,5,FALSE),""))</f>
        <v/>
      </c>
      <c r="S152" s="1131"/>
      <c r="T152" s="1132"/>
      <c r="U152" s="1128" t="str">
        <f>IF(NOT(ISNUMBER(I152)),"",IF(U148&lt;=YEAR(I152)+18,VLOOKUP(Tax!D13+3,Tax!D27:J331,6,FALSE),""))</f>
        <v/>
      </c>
      <c r="V152" s="1129"/>
      <c r="W152" s="1130"/>
      <c r="X152" s="1128" t="str">
        <f>IF(NOT(ISNUMBER(I152)),"",IF(X148&lt;=YEAR(I152)+18,VLOOKUP(Tax!D13+3,Tax!D27:J331,7,FALSE),""))</f>
        <v/>
      </c>
      <c r="Y152" s="1131"/>
      <c r="Z152" s="1132"/>
      <c r="AA152" s="238"/>
      <c r="AB152" s="20"/>
      <c r="AC152" s="20"/>
      <c r="AD152" s="20"/>
      <c r="AE152" s="20"/>
      <c r="AF152" s="20"/>
      <c r="AG152" s="20"/>
      <c r="AH152" s="20"/>
      <c r="AI152" s="346"/>
    </row>
    <row r="153" spans="1:36">
      <c r="A153" s="346"/>
      <c r="B153" s="763"/>
      <c r="C153" s="346"/>
      <c r="D153" s="764"/>
      <c r="E153" s="1114" t="str">
        <f>IF(AND(ISBLANK(F22),ISNUMBER(I153),I153=MIN(I149:I154)),"Oldest Child",IF(AND(ISBLANK(F22),ISNUMBER(I153),I153=MAX(I149:I154)),"Youngest Child",IF(AND(ISBLANK(F22),ISNUMBER(I153)),"Child 5",IF(NOT(ISBLANK(F22)),F22,""))))</f>
        <v/>
      </c>
      <c r="F153" s="909"/>
      <c r="G153" s="909"/>
      <c r="H153" s="909"/>
      <c r="I153" s="908" t="str">
        <f t="shared" si="5"/>
        <v/>
      </c>
      <c r="J153" s="909"/>
      <c r="K153" s="909"/>
      <c r="L153" s="1128" t="str">
        <f>IF(NOT(ISNUMBER(I153)),"",IF(L148&lt;=YEAR(I153)+18,VLOOKUP(Tax!D13+4,Tax!D27:J331,3,FALSE),""))</f>
        <v/>
      </c>
      <c r="M153" s="1131"/>
      <c r="N153" s="1132"/>
      <c r="O153" s="1128" t="str">
        <f>IF(NOT(ISNUMBER(I153)),"",IF(O148&lt;=YEAR(I153)+18,VLOOKUP(Tax!D13+4,Tax!D27:J331,4,FALSE),""))</f>
        <v/>
      </c>
      <c r="P153" s="1131"/>
      <c r="Q153" s="1132"/>
      <c r="R153" s="1128" t="str">
        <f>IF(NOT(ISNUMBER(I153)),"",IF(R148&lt;=YEAR(I153)+18,VLOOKUP(Tax!D13+4,Tax!D27:J331,5,FALSE),""))</f>
        <v/>
      </c>
      <c r="S153" s="1131"/>
      <c r="T153" s="1132"/>
      <c r="U153" s="1128" t="str">
        <f>IF(NOT(ISNUMBER(I153)),"",IF(U148&lt;=YEAR(I153)+18,VLOOKUP(Tax!D13+4,Tax!D27:J331,6,FALSE),""))</f>
        <v/>
      </c>
      <c r="V153" s="1129"/>
      <c r="W153" s="1130"/>
      <c r="X153" s="1128" t="str">
        <f>IF(NOT(ISNUMBER(I153)),"",IF(X148&lt;=YEAR(I153)+18,VLOOKUP(Tax!D13+4,Tax!D27:J331,7,FALSE),""))</f>
        <v/>
      </c>
      <c r="Y153" s="1131"/>
      <c r="Z153" s="1132"/>
      <c r="AA153" s="238"/>
      <c r="AB153" s="20"/>
      <c r="AC153" s="20"/>
      <c r="AD153" s="20"/>
      <c r="AE153" s="20"/>
      <c r="AF153" s="20"/>
      <c r="AG153" s="20"/>
      <c r="AH153" s="20"/>
      <c r="AI153" s="346"/>
    </row>
    <row r="154" spans="1:36">
      <c r="A154" s="346"/>
      <c r="B154" s="770" t="s">
        <v>567</v>
      </c>
      <c r="C154" s="771" t="s">
        <v>568</v>
      </c>
      <c r="D154" s="764"/>
      <c r="E154" s="1114" t="str">
        <f>IF(AND(ISBLANK(F23),ISNUMBER(I154),I154=MIN(I149:I154)),"Oldest Child",IF(AND(ISBLANK(F23),ISNUMBER(I154),I154=MAX(I149:I154)),"Youngest Child",IF(AND(ISBLANK(F23),ISNUMBER(I154)),"Child 6",IF(NOT(ISBLANK(F23)),F23,""))))</f>
        <v/>
      </c>
      <c r="F154" s="909"/>
      <c r="G154" s="909"/>
      <c r="H154" s="909"/>
      <c r="I154" s="908" t="str">
        <f t="shared" si="5"/>
        <v/>
      </c>
      <c r="J154" s="909"/>
      <c r="K154" s="909"/>
      <c r="L154" s="1128" t="str">
        <f>IF(NOT(ISNUMBER(I154)),"",IF(L148&lt;=YEAR(I154)+18,VLOOKUP(Tax!D13+5,Tax!D27:J331,3,FALSE),""))</f>
        <v/>
      </c>
      <c r="M154" s="1131"/>
      <c r="N154" s="1132"/>
      <c r="O154" s="1128" t="str">
        <f>IF(NOT(ISNUMBER(I154)),"",IF(O148&lt;=YEAR(I154)+18,VLOOKUP(Tax!D13+5,Tax!D27:J331,4,FALSE),""))</f>
        <v/>
      </c>
      <c r="P154" s="1131"/>
      <c r="Q154" s="1132"/>
      <c r="R154" s="1128" t="str">
        <f>IF(NOT(ISNUMBER(I154)),"",IF(R148&lt;=YEAR(I154)+18,VLOOKUP(Tax!D13+5,Tax!D27:J331,5,FALSE),""))</f>
        <v/>
      </c>
      <c r="S154" s="1131"/>
      <c r="T154" s="1132"/>
      <c r="U154" s="1128" t="str">
        <f>IF(NOT(ISNUMBER(I154)),"",IF(U148&lt;=YEAR(I154)+18,VLOOKUP(Tax!D13+5,Tax!D27:J331,6,FALSE),""))</f>
        <v/>
      </c>
      <c r="V154" s="1131"/>
      <c r="W154" s="1132"/>
      <c r="X154" s="1128" t="str">
        <f>IF(NOT(ISNUMBER(I154)),"",IF(X148&lt;=YEAR(I154)+18,VLOOKUP(Tax!D13+5,Tax!D27:J331,7,FALSE),""))</f>
        <v/>
      </c>
      <c r="Y154" s="1131"/>
      <c r="Z154" s="1132"/>
      <c r="AA154" s="238"/>
      <c r="AB154" s="20"/>
      <c r="AC154" s="20"/>
      <c r="AD154" s="20"/>
      <c r="AE154" s="20"/>
      <c r="AF154" s="20"/>
      <c r="AG154" s="20"/>
      <c r="AH154" s="20"/>
      <c r="AI154" s="346"/>
      <c r="AJ154" s="223"/>
    </row>
    <row r="155" spans="1:36">
      <c r="A155" s="346"/>
      <c r="B155" s="770">
        <f>COUNTIF(L149:Z154,"Father")</f>
        <v>0</v>
      </c>
      <c r="C155" s="772" t="b">
        <f>IF(ISNUMBER(U69),ROUND(B157*U69,0))</f>
        <v>0</v>
      </c>
      <c r="D155" s="578"/>
      <c r="E155" s="780" t="str">
        <f>IF(OR(C155=B155,C155=B156,NOT(ISNUMBER(U69))),"",IF(NOT(ISBLANK(L145)),"Deduction(s) deleted for older child(ren) after age 18.","Deduction(s) deleted for older child(ren) after age 18.  You may wish to customize:"))</f>
        <v/>
      </c>
      <c r="F155" s="781"/>
      <c r="G155" s="781"/>
      <c r="H155" s="781"/>
      <c r="I155" s="781"/>
      <c r="J155" s="781"/>
      <c r="K155" s="781"/>
      <c r="L155" s="781"/>
      <c r="M155" s="781"/>
      <c r="N155" s="781"/>
      <c r="O155" s="781"/>
      <c r="P155" s="781"/>
      <c r="Q155" s="781"/>
      <c r="R155" s="781"/>
      <c r="S155" s="781"/>
      <c r="T155" s="781"/>
      <c r="U155" s="781"/>
      <c r="V155" s="781"/>
      <c r="W155" s="781"/>
      <c r="X155" s="781"/>
      <c r="Y155" s="781"/>
      <c r="Z155" s="781"/>
      <c r="AA155" s="236"/>
      <c r="AB155" s="20"/>
      <c r="AC155" s="20"/>
      <c r="AD155" s="20"/>
      <c r="AE155" s="20"/>
      <c r="AF155" s="20"/>
      <c r="AG155" s="20"/>
      <c r="AH155" s="20"/>
      <c r="AI155" s="346"/>
      <c r="AJ155" s="223"/>
    </row>
    <row r="156" spans="1:36">
      <c r="A156" s="346"/>
      <c r="B156" s="770">
        <f>COUNTIF(L149:Z154,"Mother")</f>
        <v>0</v>
      </c>
      <c r="C156" s="772" t="b">
        <f>IF(ISNUMBER(Y69),ROUND(B157*Y69,0))</f>
        <v>0</v>
      </c>
      <c r="D156" s="762"/>
      <c r="E156" s="237"/>
      <c r="F156" s="766" t="str">
        <f>IF(OR(C155=B155,C155=B156,NOT(ISNUMBER(U69))),"","Father is allocated "&amp;B155&amp;" deduction(s) and he should presumptively have "&amp;C155&amp;" deduction(s).")</f>
        <v/>
      </c>
      <c r="G156" s="237"/>
      <c r="H156" s="237"/>
      <c r="I156" s="237"/>
      <c r="J156" s="237"/>
      <c r="K156" s="237"/>
      <c r="L156" s="237"/>
      <c r="M156" s="237"/>
      <c r="N156" s="237"/>
      <c r="O156" s="237"/>
      <c r="P156" s="237"/>
      <c r="Q156" s="237"/>
      <c r="R156" s="237"/>
      <c r="S156" s="237"/>
      <c r="T156" s="237"/>
      <c r="U156" s="237"/>
      <c r="V156" s="237"/>
      <c r="W156" s="237"/>
      <c r="X156" s="237"/>
      <c r="Y156" s="237"/>
      <c r="Z156" s="237"/>
      <c r="AA156" s="236"/>
      <c r="AB156" s="20"/>
      <c r="AC156" s="20"/>
      <c r="AD156" s="20"/>
      <c r="AE156" s="20"/>
      <c r="AF156" s="20"/>
      <c r="AG156" s="20"/>
      <c r="AH156" s="20"/>
      <c r="AI156" s="346"/>
      <c r="AJ156" s="223"/>
    </row>
    <row r="157" spans="1:36">
      <c r="A157" s="346"/>
      <c r="B157" s="770">
        <f>B155+B156</f>
        <v>0</v>
      </c>
      <c r="C157" s="771">
        <f>C155+C156</f>
        <v>0</v>
      </c>
      <c r="D157" s="762"/>
      <c r="E157" s="237"/>
      <c r="F157" s="766" t="str">
        <f>IF(OR(C155=B155,C155=B156,NOT(ISNUMBER(U69))),"","Mother is allocated "&amp;B156&amp;" deduction(s) and she should presumptively have "&amp;C156&amp;" deduction(s).")</f>
        <v/>
      </c>
      <c r="G157" s="237"/>
      <c r="H157" s="237"/>
      <c r="I157" s="237"/>
      <c r="J157" s="237"/>
      <c r="K157" s="237"/>
      <c r="L157" s="237"/>
      <c r="M157" s="237"/>
      <c r="N157" s="237"/>
      <c r="O157" s="237"/>
      <c r="P157" s="237"/>
      <c r="Q157" s="237"/>
      <c r="R157" s="237"/>
      <c r="S157" s="237"/>
      <c r="T157" s="237"/>
      <c r="U157" s="237"/>
      <c r="V157" s="237"/>
      <c r="W157" s="237"/>
      <c r="X157" s="237"/>
      <c r="Y157" s="237"/>
      <c r="Z157" s="237"/>
      <c r="AA157" s="236"/>
      <c r="AB157" s="20"/>
      <c r="AC157" s="20"/>
      <c r="AD157" s="20"/>
      <c r="AE157" s="20"/>
      <c r="AF157" s="20"/>
      <c r="AG157" s="20"/>
      <c r="AH157" s="20"/>
      <c r="AI157" s="346"/>
      <c r="AJ157" s="223"/>
    </row>
    <row r="158" spans="1:36">
      <c r="A158" s="346"/>
      <c r="B158" s="562"/>
      <c r="C158" s="578"/>
      <c r="D158" s="578"/>
      <c r="E158" s="1112" t="s">
        <v>216</v>
      </c>
      <c r="F158" s="1113"/>
      <c r="G158" s="1113"/>
      <c r="H158" s="1095"/>
      <c r="I158" s="1009" t="s">
        <v>175</v>
      </c>
      <c r="J158" s="1240"/>
      <c r="K158" s="1241"/>
      <c r="L158" s="995" t="s">
        <v>176</v>
      </c>
      <c r="M158" s="996"/>
      <c r="N158" s="996"/>
      <c r="O158" s="996"/>
      <c r="P158" s="996"/>
      <c r="Q158" s="997"/>
      <c r="R158" s="997"/>
      <c r="S158" s="997"/>
      <c r="T158" s="997"/>
      <c r="U158" s="997"/>
      <c r="V158" s="997"/>
      <c r="W158" s="997"/>
      <c r="X158" s="997"/>
      <c r="Y158" s="998"/>
      <c r="Z158" s="999"/>
      <c r="AA158" s="236"/>
      <c r="AB158" s="20"/>
      <c r="AC158" s="20"/>
      <c r="AD158" s="20"/>
      <c r="AE158" s="20"/>
      <c r="AF158" s="20"/>
      <c r="AG158" s="20"/>
      <c r="AH158" s="20"/>
      <c r="AI158" s="346"/>
      <c r="AJ158" s="223"/>
    </row>
    <row r="159" spans="1:36">
      <c r="A159" s="346"/>
      <c r="B159" s="562"/>
      <c r="C159" s="578"/>
      <c r="D159" s="578"/>
      <c r="E159" s="1113"/>
      <c r="F159" s="1113"/>
      <c r="G159" s="1113"/>
      <c r="H159" s="1095"/>
      <c r="I159" s="1242"/>
      <c r="J159" s="1243"/>
      <c r="K159" s="1244"/>
      <c r="L159" s="1123">
        <f ca="1">YEAR(TODAY())</f>
        <v>2015</v>
      </c>
      <c r="M159" s="1095"/>
      <c r="N159" s="1095"/>
      <c r="O159" s="1094">
        <f ca="1">L159+1</f>
        <v>2016</v>
      </c>
      <c r="P159" s="1095"/>
      <c r="Q159" s="1095"/>
      <c r="R159" s="1094">
        <f ca="1">O159+1</f>
        <v>2017</v>
      </c>
      <c r="S159" s="1095"/>
      <c r="T159" s="1095"/>
      <c r="U159" s="1094">
        <f ca="1">R159+1</f>
        <v>2018</v>
      </c>
      <c r="V159" s="1095"/>
      <c r="W159" s="1095"/>
      <c r="X159" s="1094">
        <f ca="1">U159+1</f>
        <v>2019</v>
      </c>
      <c r="Y159" s="1095"/>
      <c r="Z159" s="1095"/>
      <c r="AA159" s="236"/>
      <c r="AB159" s="20"/>
      <c r="AC159" s="20"/>
      <c r="AD159" s="20"/>
      <c r="AE159" s="20"/>
      <c r="AF159" s="20"/>
      <c r="AG159" s="20"/>
      <c r="AH159" s="20"/>
      <c r="AI159" s="346"/>
      <c r="AJ159" s="223"/>
    </row>
    <row r="160" spans="1:36">
      <c r="A160" s="346"/>
      <c r="B160" s="562"/>
      <c r="C160" s="578"/>
      <c r="D160" s="768"/>
      <c r="E160" s="1114" t="str">
        <f t="shared" ref="E160:E165" si="6">E149</f>
        <v/>
      </c>
      <c r="F160" s="909"/>
      <c r="G160" s="909"/>
      <c r="H160" s="909"/>
      <c r="I160" s="1238" t="str">
        <f ca="1">IF(ISNUMBER(I149),(TODAY()-I149)/365.25,IF(ISNUMBER(P41),P41,""))</f>
        <v/>
      </c>
      <c r="J160" s="998"/>
      <c r="K160" s="999"/>
      <c r="L160" s="905"/>
      <c r="M160" s="906"/>
      <c r="N160" s="907"/>
      <c r="O160" s="905"/>
      <c r="P160" s="906"/>
      <c r="Q160" s="907"/>
      <c r="R160" s="905"/>
      <c r="S160" s="906"/>
      <c r="T160" s="907"/>
      <c r="U160" s="905"/>
      <c r="V160" s="906"/>
      <c r="W160" s="907"/>
      <c r="X160" s="905"/>
      <c r="Y160" s="906"/>
      <c r="Z160" s="907"/>
      <c r="AA160" s="236"/>
      <c r="AB160" s="20"/>
      <c r="AC160" s="20"/>
      <c r="AD160" s="20"/>
      <c r="AE160" s="20"/>
      <c r="AF160" s="20"/>
      <c r="AG160" s="20"/>
      <c r="AH160" s="20"/>
      <c r="AI160" s="346"/>
      <c r="AJ160" s="223"/>
    </row>
    <row r="161" spans="1:36">
      <c r="A161" s="346"/>
      <c r="B161" s="562"/>
      <c r="C161" s="578"/>
      <c r="D161" s="767"/>
      <c r="E161" s="1114" t="str">
        <f t="shared" si="6"/>
        <v/>
      </c>
      <c r="F161" s="909"/>
      <c r="G161" s="909"/>
      <c r="H161" s="909"/>
      <c r="I161" s="1238" t="str">
        <f ca="1">IF(ISNUMBER(I150),(TODAY()-I150)/365.25,IF(ISNUMBER(R41),R41,""))</f>
        <v/>
      </c>
      <c r="J161" s="998"/>
      <c r="K161" s="999"/>
      <c r="L161" s="905"/>
      <c r="M161" s="906"/>
      <c r="N161" s="907"/>
      <c r="O161" s="905"/>
      <c r="P161" s="906"/>
      <c r="Q161" s="907"/>
      <c r="R161" s="905"/>
      <c r="S161" s="906"/>
      <c r="T161" s="907"/>
      <c r="U161" s="905"/>
      <c r="V161" s="906"/>
      <c r="W161" s="907"/>
      <c r="X161" s="905"/>
      <c r="Y161" s="906"/>
      <c r="Z161" s="907"/>
      <c r="AA161" s="236"/>
      <c r="AB161" s="20"/>
      <c r="AC161" s="20"/>
      <c r="AD161" s="20"/>
      <c r="AE161" s="20"/>
      <c r="AF161" s="20"/>
      <c r="AG161" s="20"/>
      <c r="AH161" s="20"/>
      <c r="AI161" s="346"/>
      <c r="AJ161" s="223"/>
    </row>
    <row r="162" spans="1:36">
      <c r="A162" s="346"/>
      <c r="B162" s="895"/>
      <c r="C162" s="896"/>
      <c r="D162" s="761"/>
      <c r="E162" s="1114" t="str">
        <f t="shared" si="6"/>
        <v/>
      </c>
      <c r="F162" s="909"/>
      <c r="G162" s="909"/>
      <c r="H162" s="909"/>
      <c r="I162" s="1238" t="str">
        <f ca="1">IF(ISNUMBER(I151),(TODAY()-I151)/365.25,IF(ISNUMBER(T41),T41,""))</f>
        <v/>
      </c>
      <c r="J162" s="998"/>
      <c r="K162" s="999"/>
      <c r="L162" s="905"/>
      <c r="M162" s="906"/>
      <c r="N162" s="907"/>
      <c r="O162" s="905"/>
      <c r="P162" s="906"/>
      <c r="Q162" s="907"/>
      <c r="R162" s="905"/>
      <c r="S162" s="906"/>
      <c r="T162" s="907"/>
      <c r="U162" s="905"/>
      <c r="V162" s="906"/>
      <c r="W162" s="907"/>
      <c r="X162" s="905"/>
      <c r="Y162" s="906"/>
      <c r="Z162" s="907"/>
      <c r="AA162" s="236"/>
      <c r="AB162" s="20"/>
      <c r="AC162" s="20"/>
      <c r="AD162" s="20"/>
      <c r="AE162" s="20"/>
      <c r="AF162" s="20"/>
      <c r="AG162" s="20"/>
      <c r="AH162" s="20"/>
      <c r="AI162" s="346"/>
      <c r="AJ162" s="223"/>
    </row>
    <row r="163" spans="1:36">
      <c r="A163" s="346"/>
      <c r="B163" s="562"/>
      <c r="C163" s="578"/>
      <c r="D163" s="578"/>
      <c r="E163" s="1114" t="str">
        <f t="shared" si="6"/>
        <v/>
      </c>
      <c r="F163" s="909"/>
      <c r="G163" s="909"/>
      <c r="H163" s="909"/>
      <c r="I163" s="1238" t="str">
        <f ca="1">IF(ISNUMBER(I152),(TODAY()-I152)/365.25,IF(ISNUMBER(V41),V41,""))</f>
        <v/>
      </c>
      <c r="J163" s="998"/>
      <c r="K163" s="999"/>
      <c r="L163" s="905"/>
      <c r="M163" s="906"/>
      <c r="N163" s="907"/>
      <c r="O163" s="905"/>
      <c r="P163" s="906"/>
      <c r="Q163" s="907"/>
      <c r="R163" s="905"/>
      <c r="S163" s="906"/>
      <c r="T163" s="907"/>
      <c r="U163" s="905"/>
      <c r="V163" s="906"/>
      <c r="W163" s="907"/>
      <c r="X163" s="905"/>
      <c r="Y163" s="906"/>
      <c r="Z163" s="907"/>
      <c r="AA163" s="236"/>
      <c r="AB163" s="20"/>
      <c r="AC163" s="20"/>
      <c r="AD163" s="20"/>
      <c r="AE163" s="20"/>
      <c r="AF163" s="20"/>
      <c r="AG163" s="20"/>
      <c r="AH163" s="20"/>
      <c r="AI163" s="346"/>
      <c r="AJ163" s="223"/>
    </row>
    <row r="164" spans="1:36">
      <c r="A164" s="346"/>
      <c r="B164" s="235"/>
      <c r="C164" s="237"/>
      <c r="D164" s="578"/>
      <c r="E164" s="1114" t="str">
        <f t="shared" si="6"/>
        <v/>
      </c>
      <c r="F164" s="909"/>
      <c r="G164" s="909"/>
      <c r="H164" s="909"/>
      <c r="I164" s="1238" t="str">
        <f ca="1">IF(ISNUMBER(I153),(TODAY()-I153)/365.25,IF(ISNUMBER(X41),X41,""))</f>
        <v/>
      </c>
      <c r="J164" s="998"/>
      <c r="K164" s="999"/>
      <c r="L164" s="905"/>
      <c r="M164" s="906"/>
      <c r="N164" s="907"/>
      <c r="O164" s="905"/>
      <c r="P164" s="906"/>
      <c r="Q164" s="907"/>
      <c r="R164" s="905"/>
      <c r="S164" s="906"/>
      <c r="T164" s="907"/>
      <c r="U164" s="905"/>
      <c r="V164" s="906"/>
      <c r="W164" s="907"/>
      <c r="X164" s="905"/>
      <c r="Y164" s="906"/>
      <c r="Z164" s="907"/>
      <c r="AA164" s="236"/>
      <c r="AB164" s="20"/>
      <c r="AC164" s="20"/>
      <c r="AD164" s="20"/>
      <c r="AE164" s="20"/>
      <c r="AF164" s="20"/>
      <c r="AG164" s="20"/>
      <c r="AH164" s="20"/>
      <c r="AI164" s="346"/>
      <c r="AJ164" s="223"/>
    </row>
    <row r="165" spans="1:36">
      <c r="A165" s="346"/>
      <c r="B165" s="235"/>
      <c r="C165" s="578"/>
      <c r="D165" s="578"/>
      <c r="E165" s="1114" t="str">
        <f t="shared" si="6"/>
        <v/>
      </c>
      <c r="F165" s="909"/>
      <c r="G165" s="909"/>
      <c r="H165" s="909"/>
      <c r="I165" s="1238" t="str">
        <f ca="1">IF(ISNUMBER(I154),(TODAY()-I154)/365.25,IF(ISNUMBER(Z41),Z41,""))</f>
        <v/>
      </c>
      <c r="J165" s="998"/>
      <c r="K165" s="999"/>
      <c r="L165" s="905"/>
      <c r="M165" s="906"/>
      <c r="N165" s="907"/>
      <c r="O165" s="1329"/>
      <c r="P165" s="906"/>
      <c r="Q165" s="907"/>
      <c r="R165" s="1329"/>
      <c r="S165" s="906"/>
      <c r="T165" s="907"/>
      <c r="U165" s="1329"/>
      <c r="V165" s="906"/>
      <c r="W165" s="907"/>
      <c r="X165" s="905"/>
      <c r="Y165" s="906"/>
      <c r="Z165" s="907"/>
      <c r="AA165" s="236"/>
      <c r="AB165" s="20"/>
      <c r="AC165" s="20"/>
      <c r="AD165" s="20"/>
      <c r="AE165" s="20"/>
      <c r="AF165" s="20"/>
      <c r="AG165" s="20"/>
      <c r="AH165" s="20"/>
      <c r="AI165" s="346"/>
      <c r="AJ165" s="223"/>
    </row>
    <row r="166" spans="1:36" ht="12.75" customHeight="1">
      <c r="A166" s="346"/>
      <c r="B166" s="239"/>
      <c r="C166" s="240"/>
      <c r="D166" s="240"/>
      <c r="E166" s="561"/>
      <c r="F166" s="561"/>
      <c r="G166" s="561"/>
      <c r="H166" s="561"/>
      <c r="I166" s="255"/>
      <c r="J166" s="255"/>
      <c r="K166" s="255"/>
      <c r="L166" s="255"/>
      <c r="M166" s="255"/>
      <c r="N166" s="255"/>
      <c r="O166" s="255"/>
      <c r="P166" s="255"/>
      <c r="Q166" s="255"/>
      <c r="R166" s="255"/>
      <c r="S166" s="255"/>
      <c r="T166" s="255"/>
      <c r="U166" s="255"/>
      <c r="V166" s="255"/>
      <c r="W166" s="255"/>
      <c r="X166" s="255"/>
      <c r="Y166" s="255"/>
      <c r="Z166" s="255"/>
      <c r="AA166" s="241"/>
      <c r="AB166" s="20"/>
      <c r="AC166" s="20"/>
      <c r="AD166" s="20"/>
      <c r="AE166" s="20"/>
      <c r="AF166" s="20"/>
      <c r="AG166" s="20"/>
      <c r="AH166" s="20"/>
      <c r="AI166" s="346"/>
      <c r="AJ166" s="223"/>
    </row>
    <row r="167" spans="1:36" ht="12.75" customHeight="1">
      <c r="A167" s="346"/>
      <c r="B167" s="235"/>
      <c r="C167" s="578"/>
      <c r="D167" s="578"/>
      <c r="E167" s="253"/>
      <c r="F167" s="253"/>
      <c r="G167" s="253"/>
      <c r="H167" s="253"/>
      <c r="I167" s="254"/>
      <c r="J167" s="254"/>
      <c r="K167" s="254"/>
      <c r="L167" s="254"/>
      <c r="M167" s="254"/>
      <c r="N167" s="254"/>
      <c r="O167" s="254"/>
      <c r="P167" s="254"/>
      <c r="Q167" s="254"/>
      <c r="R167" s="254"/>
      <c r="S167" s="254"/>
      <c r="T167" s="254"/>
      <c r="U167" s="254"/>
      <c r="V167" s="254"/>
      <c r="W167" s="254"/>
      <c r="X167" s="254"/>
      <c r="Y167" s="254"/>
      <c r="Z167" s="254"/>
      <c r="AA167" s="236"/>
      <c r="AB167" s="20"/>
      <c r="AC167" s="20"/>
      <c r="AD167" s="20"/>
      <c r="AE167" s="20"/>
      <c r="AF167" s="20"/>
      <c r="AG167" s="20"/>
      <c r="AH167" s="20"/>
      <c r="AI167" s="346"/>
      <c r="AJ167" s="223"/>
    </row>
    <row r="168" spans="1:36" ht="20.25" customHeight="1">
      <c r="A168" s="346"/>
      <c r="B168" s="526" t="s">
        <v>217</v>
      </c>
      <c r="C168" s="578"/>
      <c r="D168" s="578"/>
      <c r="E168" s="256"/>
      <c r="F168" s="256"/>
      <c r="G168" s="256"/>
      <c r="H168" s="256"/>
      <c r="I168" s="256"/>
      <c r="J168" s="257"/>
      <c r="K168" s="257"/>
      <c r="L168" s="257"/>
      <c r="M168" s="257"/>
      <c r="N168" s="257"/>
      <c r="O168" s="257"/>
      <c r="P168" s="257"/>
      <c r="Q168" s="257"/>
      <c r="R168" s="257"/>
      <c r="S168" s="257"/>
      <c r="T168" s="257"/>
      <c r="U168" s="579"/>
      <c r="V168" s="579"/>
      <c r="W168" s="579"/>
      <c r="X168" s="579"/>
      <c r="Y168" s="579"/>
      <c r="Z168" s="579"/>
      <c r="AA168" s="236"/>
      <c r="AB168" s="20"/>
      <c r="AC168" s="20"/>
      <c r="AD168" s="20"/>
      <c r="AE168" s="20"/>
      <c r="AF168" s="20"/>
      <c r="AG168" s="20"/>
      <c r="AH168" s="20"/>
      <c r="AI168" s="346"/>
      <c r="AJ168" s="223"/>
    </row>
    <row r="169" spans="1:36" ht="69.75" customHeight="1">
      <c r="A169" s="346"/>
      <c r="B169" s="235"/>
      <c r="C169" s="578"/>
      <c r="D169" s="578"/>
      <c r="E169" s="1216" t="s">
        <v>680</v>
      </c>
      <c r="F169" s="1217"/>
      <c r="G169" s="1217"/>
      <c r="H169" s="1217"/>
      <c r="I169" s="1217"/>
      <c r="J169" s="1217"/>
      <c r="K169" s="1217"/>
      <c r="L169" s="1217"/>
      <c r="M169" s="1217"/>
      <c r="N169" s="1217"/>
      <c r="O169" s="1217"/>
      <c r="P169" s="1217"/>
      <c r="Q169" s="1217"/>
      <c r="R169" s="1217"/>
      <c r="S169" s="1217"/>
      <c r="T169" s="1217"/>
      <c r="U169" s="1217"/>
      <c r="V169" s="1217"/>
      <c r="W169" s="1217"/>
      <c r="X169" s="1217"/>
      <c r="Y169" s="1217"/>
      <c r="Z169" s="1218"/>
      <c r="AA169" s="236"/>
      <c r="AB169" s="20"/>
      <c r="AC169" s="20"/>
      <c r="AD169" s="20"/>
      <c r="AE169" s="20"/>
      <c r="AF169" s="20"/>
      <c r="AG169" s="20"/>
      <c r="AH169" s="20"/>
      <c r="AI169" s="346"/>
      <c r="AJ169" s="223"/>
    </row>
    <row r="170" spans="1:36" ht="30" customHeight="1">
      <c r="A170" s="346"/>
      <c r="B170" s="526" t="s">
        <v>264</v>
      </c>
      <c r="C170" s="578"/>
      <c r="D170" s="578"/>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236"/>
      <c r="AB170" s="20"/>
      <c r="AC170" s="20"/>
      <c r="AD170" s="20"/>
      <c r="AE170" s="20"/>
      <c r="AF170" s="20"/>
      <c r="AG170" s="20"/>
      <c r="AH170" s="20"/>
      <c r="AI170" s="346"/>
      <c r="AJ170" s="223"/>
    </row>
    <row r="171" spans="1:36" ht="12.75" customHeight="1">
      <c r="A171" s="346"/>
      <c r="B171" s="235"/>
      <c r="C171" s="578"/>
      <c r="D171" s="578"/>
      <c r="E171" s="437"/>
      <c r="F171" s="560" t="s">
        <v>395</v>
      </c>
      <c r="G171" s="566"/>
      <c r="H171" s="566"/>
      <c r="I171" s="437"/>
      <c r="J171" s="213" t="s">
        <v>394</v>
      </c>
      <c r="K171" s="331"/>
      <c r="L171" s="331"/>
      <c r="M171" s="331"/>
      <c r="N171" s="331"/>
      <c r="O171" s="331"/>
      <c r="P171" s="331"/>
      <c r="Q171" s="331"/>
      <c r="R171" s="331"/>
      <c r="S171" s="331"/>
      <c r="T171" s="331"/>
      <c r="U171" s="331"/>
      <c r="V171" s="331"/>
      <c r="W171" s="331"/>
      <c r="X171" s="331"/>
      <c r="Y171" s="331"/>
      <c r="Z171" s="331"/>
      <c r="AA171" s="236"/>
      <c r="AB171" s="20"/>
      <c r="AC171" s="20"/>
      <c r="AD171" s="20"/>
      <c r="AE171" s="20"/>
      <c r="AF171" s="20"/>
      <c r="AG171" s="20"/>
      <c r="AH171" s="20"/>
      <c r="AI171" s="346"/>
      <c r="AJ171" s="223"/>
    </row>
    <row r="172" spans="1:36" ht="12.75" customHeight="1">
      <c r="A172" s="346"/>
      <c r="B172" s="235"/>
      <c r="C172" s="578"/>
      <c r="D172" s="578"/>
      <c r="E172" s="331"/>
      <c r="F172" s="331"/>
      <c r="G172" s="331"/>
      <c r="H172" s="331"/>
      <c r="I172" s="331"/>
      <c r="J172" s="331"/>
      <c r="K172" s="331"/>
      <c r="L172" s="331"/>
      <c r="M172" s="331"/>
      <c r="N172" s="331"/>
      <c r="O172" s="331"/>
      <c r="P172" s="331"/>
      <c r="Q172" s="331"/>
      <c r="R172" s="221"/>
      <c r="S172" s="331"/>
      <c r="T172" s="331"/>
      <c r="U172" s="331"/>
      <c r="V172" s="221"/>
      <c r="W172" s="331"/>
      <c r="X172" s="331"/>
      <c r="Y172" s="331"/>
      <c r="Z172" s="331"/>
      <c r="AA172" s="236"/>
      <c r="AB172" s="20"/>
      <c r="AC172" s="20"/>
      <c r="AD172" s="20"/>
      <c r="AE172" s="20"/>
      <c r="AF172" s="20"/>
      <c r="AG172" s="20"/>
      <c r="AH172" s="20"/>
      <c r="AI172" s="346"/>
      <c r="AJ172" s="223"/>
    </row>
    <row r="173" spans="1:36" ht="12.75" customHeight="1">
      <c r="A173" s="346"/>
      <c r="B173" s="562" t="s">
        <v>345</v>
      </c>
      <c r="C173" s="578"/>
      <c r="D173" s="578"/>
      <c r="E173" s="254"/>
      <c r="F173" s="254"/>
      <c r="G173" s="254"/>
      <c r="H173" s="254"/>
      <c r="I173" s="221"/>
      <c r="J173" s="1193"/>
      <c r="K173" s="1194"/>
      <c r="L173" s="1194"/>
      <c r="M173" s="1194"/>
      <c r="N173" s="1194"/>
      <c r="O173" s="1195"/>
      <c r="P173" s="254"/>
      <c r="Q173" s="254"/>
      <c r="R173" s="331"/>
      <c r="S173" s="331"/>
      <c r="T173" s="331"/>
      <c r="U173" s="331"/>
      <c r="V173" s="331"/>
      <c r="W173" s="254"/>
      <c r="X173" s="254"/>
      <c r="Y173" s="254"/>
      <c r="Z173" s="254"/>
      <c r="AA173" s="236"/>
      <c r="AB173" s="20"/>
      <c r="AC173" s="20"/>
      <c r="AD173" s="20"/>
      <c r="AE173" s="20"/>
      <c r="AF173" s="20"/>
      <c r="AG173" s="20"/>
      <c r="AH173" s="20"/>
      <c r="AI173" s="346"/>
      <c r="AJ173" s="223"/>
    </row>
    <row r="174" spans="1:36" ht="12.75" customHeight="1" thickBot="1">
      <c r="A174" s="346"/>
      <c r="B174" s="313"/>
      <c r="C174" s="314"/>
      <c r="D174" s="314"/>
      <c r="E174" s="315"/>
      <c r="F174" s="315"/>
      <c r="G174" s="315"/>
      <c r="H174" s="315"/>
      <c r="I174" s="315"/>
      <c r="J174" s="316"/>
      <c r="K174" s="316"/>
      <c r="L174" s="316"/>
      <c r="M174" s="316"/>
      <c r="N174" s="316"/>
      <c r="O174" s="316"/>
      <c r="P174" s="316"/>
      <c r="Q174" s="316"/>
      <c r="R174" s="316"/>
      <c r="S174" s="316"/>
      <c r="T174" s="316"/>
      <c r="U174" s="316"/>
      <c r="V174" s="316"/>
      <c r="W174" s="316"/>
      <c r="X174" s="316"/>
      <c r="Y174" s="316"/>
      <c r="Z174" s="316"/>
      <c r="AA174" s="317"/>
      <c r="AB174" s="20"/>
      <c r="AC174" s="20"/>
      <c r="AD174" s="20"/>
      <c r="AE174" s="20"/>
      <c r="AF174" s="20"/>
      <c r="AG174" s="20"/>
      <c r="AH174" s="20"/>
      <c r="AI174" s="346"/>
      <c r="AJ174" s="223"/>
    </row>
    <row r="175" spans="1:36" ht="30" customHeight="1" thickTop="1">
      <c r="A175" s="346"/>
      <c r="B175" s="1229" t="s">
        <v>348</v>
      </c>
      <c r="C175" s="1230"/>
      <c r="D175" s="1230"/>
      <c r="E175" s="1230"/>
      <c r="F175" s="1230"/>
      <c r="G175" s="1230"/>
      <c r="H175" s="1230"/>
      <c r="I175" s="1230"/>
      <c r="J175" s="1230"/>
      <c r="K175" s="1230"/>
      <c r="L175" s="1230"/>
      <c r="M175" s="1230"/>
      <c r="N175" s="1230"/>
      <c r="O175" s="1230"/>
      <c r="P175" s="1230"/>
      <c r="Q175" s="1230"/>
      <c r="R175" s="1230"/>
      <c r="S175" s="1230"/>
      <c r="T175" s="1230"/>
      <c r="U175" s="1230"/>
      <c r="V175" s="1230"/>
      <c r="W175" s="1230"/>
      <c r="X175" s="1230"/>
      <c r="Y175" s="1230"/>
      <c r="Z175" s="1230"/>
      <c r="AA175" s="1231"/>
      <c r="AB175" s="20"/>
      <c r="AC175" s="20"/>
      <c r="AD175" s="20"/>
      <c r="AE175" s="20"/>
      <c r="AF175" s="20"/>
      <c r="AG175" s="20"/>
      <c r="AH175" s="20"/>
      <c r="AI175" s="346"/>
      <c r="AJ175" s="223"/>
    </row>
    <row r="176" spans="1:36" ht="12.75" customHeight="1">
      <c r="A176" s="346"/>
      <c r="B176" s="1232" t="s">
        <v>350</v>
      </c>
      <c r="C176" s="1233"/>
      <c r="D176" s="1233"/>
      <c r="E176" s="1233"/>
      <c r="F176" s="1233"/>
      <c r="G176" s="1233"/>
      <c r="H176" s="1233"/>
      <c r="I176" s="1233"/>
      <c r="J176" s="1233"/>
      <c r="K176" s="1233"/>
      <c r="L176" s="1233"/>
      <c r="M176" s="1233"/>
      <c r="N176" s="1233"/>
      <c r="O176" s="1233"/>
      <c r="P176" s="1233"/>
      <c r="Q176" s="1233"/>
      <c r="R176" s="1233"/>
      <c r="S176" s="1233"/>
      <c r="T176" s="1233"/>
      <c r="U176" s="1233"/>
      <c r="V176" s="1233"/>
      <c r="W176" s="1233"/>
      <c r="X176" s="1233"/>
      <c r="Y176" s="1233"/>
      <c r="Z176" s="1233"/>
      <c r="AA176" s="1234"/>
      <c r="AB176" s="20"/>
      <c r="AC176" s="20"/>
      <c r="AD176" s="20"/>
      <c r="AE176" s="20"/>
      <c r="AF176" s="20"/>
      <c r="AG176" s="20"/>
      <c r="AH176" s="20"/>
      <c r="AI176" s="346"/>
      <c r="AJ176" s="223"/>
    </row>
    <row r="177" spans="1:36">
      <c r="A177" s="346"/>
      <c r="B177" s="235"/>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236"/>
      <c r="AB177" s="20"/>
      <c r="AC177" s="20"/>
      <c r="AD177" s="20"/>
      <c r="AE177" s="20"/>
      <c r="AF177" s="20"/>
      <c r="AG177" s="20"/>
      <c r="AH177" s="20"/>
      <c r="AI177" s="346"/>
      <c r="AJ177" s="223"/>
    </row>
    <row r="178" spans="1:36">
      <c r="A178" s="346"/>
      <c r="B178" s="930" t="s">
        <v>366</v>
      </c>
      <c r="C178" s="1172"/>
      <c r="D178" s="1172"/>
      <c r="E178" s="1172"/>
      <c r="F178" s="1172"/>
      <c r="G178" s="248" t="str">
        <f>IF(ISBLANK(G179),"x","")</f>
        <v>x</v>
      </c>
      <c r="H178" s="560" t="s">
        <v>374</v>
      </c>
      <c r="I178" s="564"/>
      <c r="J178" s="564"/>
      <c r="K178" s="564"/>
      <c r="L178" s="564"/>
      <c r="M178" s="564"/>
      <c r="N178" s="564"/>
      <c r="O178" s="564"/>
      <c r="P178" s="564"/>
      <c r="Q178" s="564"/>
      <c r="R178" s="564"/>
      <c r="S178" s="564"/>
      <c r="T178" s="564"/>
      <c r="U178" s="564"/>
      <c r="V178" s="564"/>
      <c r="W178" s="564"/>
      <c r="X178" s="564"/>
      <c r="Y178" s="237"/>
      <c r="Z178" s="237"/>
      <c r="AA178" s="238"/>
      <c r="AB178" s="20"/>
      <c r="AC178" s="20"/>
      <c r="AD178" s="20"/>
      <c r="AE178" s="20"/>
      <c r="AF178" s="20"/>
      <c r="AG178" s="20"/>
      <c r="AH178" s="20"/>
      <c r="AI178" s="346"/>
      <c r="AJ178" s="223"/>
    </row>
    <row r="179" spans="1:36">
      <c r="A179" s="346"/>
      <c r="B179" s="548" t="s">
        <v>367</v>
      </c>
      <c r="C179" s="237"/>
      <c r="D179" s="237"/>
      <c r="E179" s="237"/>
      <c r="F179" s="237"/>
      <c r="G179" s="437"/>
      <c r="H179" s="560" t="s">
        <v>375</v>
      </c>
      <c r="I179" s="564"/>
      <c r="J179" s="564"/>
      <c r="K179" s="564"/>
      <c r="L179" s="564"/>
      <c r="M179" s="564"/>
      <c r="N179" s="564"/>
      <c r="O179" s="564"/>
      <c r="P179" s="564"/>
      <c r="Q179" s="564"/>
      <c r="R179" s="564"/>
      <c r="S179" s="564"/>
      <c r="T179" s="564"/>
      <c r="U179" s="564"/>
      <c r="V179" s="564"/>
      <c r="W179" s="564"/>
      <c r="X179" s="564"/>
      <c r="Y179" s="237"/>
      <c r="Z179" s="237"/>
      <c r="AA179" s="238"/>
      <c r="AI179" s="346"/>
      <c r="AJ179" s="223"/>
    </row>
    <row r="180" spans="1:36">
      <c r="A180" s="346"/>
      <c r="B180" s="243"/>
      <c r="C180" s="237"/>
      <c r="D180" s="237"/>
      <c r="E180" s="237"/>
      <c r="F180" s="237"/>
      <c r="G180" s="258">
        <f>IF(AND(ISBLANK(G178),ISBLANK(G179)),0,IF(OR(AND(NOT(ISBLANK(G178)),ISBLANK(G179)),AND(NOT(ISBLANK(G179)),ISBLANK(G178))),1,2))</f>
        <v>1</v>
      </c>
      <c r="H180" s="560"/>
      <c r="I180" s="564"/>
      <c r="J180" s="564"/>
      <c r="K180" s="564"/>
      <c r="L180" s="564"/>
      <c r="M180" s="564"/>
      <c r="N180" s="564"/>
      <c r="O180" s="564"/>
      <c r="P180" s="564"/>
      <c r="Q180" s="564"/>
      <c r="R180" s="564"/>
      <c r="S180" s="564"/>
      <c r="T180" s="564"/>
      <c r="U180" s="564"/>
      <c r="V180" s="564"/>
      <c r="W180" s="564"/>
      <c r="X180" s="564"/>
      <c r="Y180" s="237"/>
      <c r="Z180" s="237"/>
      <c r="AA180" s="238"/>
      <c r="AI180" s="346"/>
    </row>
    <row r="181" spans="1:36">
      <c r="A181" s="346"/>
      <c r="B181" s="247" t="s">
        <v>365</v>
      </c>
      <c r="C181" s="237"/>
      <c r="D181" s="237"/>
      <c r="E181" s="237"/>
      <c r="F181" s="237"/>
      <c r="G181" s="248" t="str">
        <f>IF(AND(ISBLANK(G182),ISBLANK(G183)),"x","")</f>
        <v>x</v>
      </c>
      <c r="H181" s="560" t="s">
        <v>376</v>
      </c>
      <c r="I181" s="564"/>
      <c r="J181" s="564"/>
      <c r="K181" s="237"/>
      <c r="L181" s="221"/>
      <c r="M181" s="564"/>
      <c r="N181" s="564"/>
      <c r="O181" s="564"/>
      <c r="P181" s="564"/>
      <c r="Q181" s="564"/>
      <c r="R181" s="564"/>
      <c r="S181" s="564"/>
      <c r="T181" s="564"/>
      <c r="U181" s="564"/>
      <c r="V181" s="564"/>
      <c r="W181" s="564"/>
      <c r="X181" s="564"/>
      <c r="Y181" s="237"/>
      <c r="Z181" s="237"/>
      <c r="AA181" s="238"/>
      <c r="AI181" s="346"/>
    </row>
    <row r="182" spans="1:36">
      <c r="A182" s="346"/>
      <c r="B182" s="243" t="str">
        <f>IF(G184=2,"  Error-2 Checked","  (Check One)")</f>
        <v xml:space="preserve">  (Check One)</v>
      </c>
      <c r="C182" s="237"/>
      <c r="D182" s="237"/>
      <c r="E182" s="237"/>
      <c r="F182" s="237"/>
      <c r="G182" s="437"/>
      <c r="H182" s="560" t="s">
        <v>377</v>
      </c>
      <c r="I182" s="564"/>
      <c r="J182" s="564"/>
      <c r="K182" s="237"/>
      <c r="L182" s="237"/>
      <c r="M182" s="237"/>
      <c r="N182" s="564"/>
      <c r="O182" s="564"/>
      <c r="P182" s="564"/>
      <c r="Q182" s="237"/>
      <c r="R182" s="564"/>
      <c r="S182" s="564"/>
      <c r="T182" s="564"/>
      <c r="U182" s="564"/>
      <c r="V182" s="564"/>
      <c r="W182" s="564"/>
      <c r="X182" s="564"/>
      <c r="Y182" s="237"/>
      <c r="Z182" s="237"/>
      <c r="AA182" s="238"/>
      <c r="AI182" s="346"/>
    </row>
    <row r="183" spans="1:36">
      <c r="A183" s="346"/>
      <c r="B183" s="243"/>
      <c r="C183" s="237"/>
      <c r="D183" s="237"/>
      <c r="E183" s="237"/>
      <c r="F183" s="237"/>
      <c r="G183" s="437"/>
      <c r="H183" s="259" t="s">
        <v>378</v>
      </c>
      <c r="I183" s="564"/>
      <c r="J183" s="564"/>
      <c r="K183" s="237"/>
      <c r="L183" s="237"/>
      <c r="M183" s="237"/>
      <c r="N183" s="564"/>
      <c r="O183" s="564"/>
      <c r="P183" s="564"/>
      <c r="Q183" s="237"/>
      <c r="R183" s="564"/>
      <c r="S183" s="564"/>
      <c r="T183" s="564"/>
      <c r="U183" s="564"/>
      <c r="V183" s="564"/>
      <c r="W183" s="564"/>
      <c r="X183" s="564"/>
      <c r="Y183" s="237"/>
      <c r="Z183" s="237"/>
      <c r="AA183" s="238"/>
      <c r="AI183" s="346"/>
    </row>
    <row r="184" spans="1:36">
      <c r="A184" s="346"/>
      <c r="B184" s="243"/>
      <c r="C184" s="237"/>
      <c r="D184" s="237"/>
      <c r="E184" s="237"/>
      <c r="F184" s="237"/>
      <c r="G184" s="258">
        <f>IF(AND(ISBLANK(G182),ISBLANK(G183)),0,IF(OR(AND(NOT(ISBLANK(G182)),ISBLANK(G183)),AND(ISBLANK(G182),ISBLANK(G183)),AND(NOT(ISBLANK(G183)),ISBLANK(G182))),1,2))</f>
        <v>0</v>
      </c>
      <c r="H184" s="560"/>
      <c r="I184" s="564"/>
      <c r="J184" s="564"/>
      <c r="K184" s="237"/>
      <c r="L184" s="568"/>
      <c r="M184" s="237"/>
      <c r="N184" s="237"/>
      <c r="O184" s="237"/>
      <c r="P184" s="237"/>
      <c r="Q184" s="237"/>
      <c r="R184" s="237"/>
      <c r="S184" s="237"/>
      <c r="T184" s="237"/>
      <c r="U184" s="237"/>
      <c r="V184" s="237"/>
      <c r="W184" s="564"/>
      <c r="X184" s="564"/>
      <c r="Y184" s="237"/>
      <c r="Z184" s="237"/>
      <c r="AA184" s="238"/>
      <c r="AI184" s="346"/>
    </row>
    <row r="185" spans="1:36">
      <c r="A185" s="346"/>
      <c r="B185" s="247" t="s">
        <v>364</v>
      </c>
      <c r="C185" s="237"/>
      <c r="D185" s="237"/>
      <c r="E185" s="1235" t="str">
        <f>IF(AND(NOT(ISBLANK(F12)),X12="x"),F12,IF(AND(NOT(ISBLANK(F12)),NOT(ISBLANK(T12))),F14,""))</f>
        <v/>
      </c>
      <c r="F185" s="1236"/>
      <c r="G185" s="1236"/>
      <c r="H185" s="1236"/>
      <c r="I185" s="1236"/>
      <c r="J185" s="1236"/>
      <c r="K185" s="1236"/>
      <c r="L185" s="1237"/>
      <c r="M185" s="991" t="s">
        <v>373</v>
      </c>
      <c r="N185" s="1222"/>
      <c r="O185" s="1222"/>
      <c r="P185" s="1222"/>
      <c r="Q185" s="1226"/>
      <c r="R185" s="1227"/>
      <c r="S185" s="1227"/>
      <c r="T185" s="1227"/>
      <c r="U185" s="1227"/>
      <c r="V185" s="1228"/>
      <c r="W185" s="564"/>
      <c r="X185" s="564"/>
      <c r="Y185" s="237"/>
      <c r="Z185" s="237"/>
      <c r="AA185" s="238"/>
      <c r="AI185" s="346"/>
    </row>
    <row r="186" spans="1:36">
      <c r="A186" s="346"/>
      <c r="B186" s="243"/>
      <c r="C186" s="237"/>
      <c r="D186" s="237"/>
      <c r="E186" s="237"/>
      <c r="F186" s="237"/>
      <c r="G186" s="221"/>
      <c r="H186" s="237"/>
      <c r="I186" s="237"/>
      <c r="J186" s="237"/>
      <c r="K186" s="237"/>
      <c r="L186" s="237"/>
      <c r="M186" s="237"/>
      <c r="N186" s="237"/>
      <c r="O186" s="237"/>
      <c r="P186" s="237"/>
      <c r="Q186" s="237"/>
      <c r="R186" s="237"/>
      <c r="S186" s="237"/>
      <c r="T186" s="237"/>
      <c r="U186" s="237"/>
      <c r="V186" s="237"/>
      <c r="W186" s="237"/>
      <c r="X186" s="237"/>
      <c r="Y186" s="237"/>
      <c r="Z186" s="237"/>
      <c r="AA186" s="238"/>
      <c r="AI186" s="346"/>
    </row>
    <row r="187" spans="1:36" ht="18.75" customHeight="1">
      <c r="A187" s="346"/>
      <c r="B187" s="930" t="s">
        <v>363</v>
      </c>
      <c r="C187" s="1191"/>
      <c r="D187" s="1191"/>
      <c r="E187" s="1191"/>
      <c r="F187" s="1191"/>
      <c r="G187" s="1191"/>
      <c r="H187" s="904"/>
      <c r="I187" s="437"/>
      <c r="J187" s="1381"/>
      <c r="K187" s="941"/>
      <c r="L187" s="941"/>
      <c r="M187" s="941"/>
      <c r="N187" s="941"/>
      <c r="O187" s="941"/>
      <c r="P187" s="942"/>
      <c r="Q187" s="570"/>
      <c r="R187" s="570"/>
      <c r="S187" s="570"/>
      <c r="T187" s="298"/>
      <c r="U187" s="298"/>
      <c r="V187" s="298"/>
      <c r="W187" s="298"/>
      <c r="X187" s="298"/>
      <c r="Y187" s="298"/>
      <c r="Z187" s="237"/>
      <c r="AA187" s="238"/>
      <c r="AI187" s="346"/>
    </row>
    <row r="188" spans="1:36">
      <c r="A188" s="346"/>
      <c r="B188" s="569"/>
      <c r="C188" s="564"/>
      <c r="D188" s="564"/>
      <c r="E188" s="564"/>
      <c r="F188" s="564"/>
      <c r="G188" s="564"/>
      <c r="H188" s="221"/>
      <c r="I188" s="248" t="str">
        <f>IF(ISBLANK(I187),"x","")</f>
        <v>x</v>
      </c>
      <c r="J188" s="1223" t="str">
        <f>IF(I187="x",J187,IF(AND(NOT(ISBLANK(F12)),NOT(ISBLANK(T12))),F12,IF(AND(NOT(ISBLANK(F12)),X12="x"),F14,"")))</f>
        <v/>
      </c>
      <c r="K188" s="1224"/>
      <c r="L188" s="1224"/>
      <c r="M188" s="1224"/>
      <c r="N188" s="1224"/>
      <c r="O188" s="1224"/>
      <c r="P188" s="1225"/>
      <c r="Q188" s="991" t="s">
        <v>373</v>
      </c>
      <c r="R188" s="1222"/>
      <c r="S188" s="1222"/>
      <c r="T188" s="1222"/>
      <c r="U188" s="1226"/>
      <c r="V188" s="1227"/>
      <c r="W188" s="1227"/>
      <c r="X188" s="1227"/>
      <c r="Y188" s="1227"/>
      <c r="Z188" s="1228"/>
      <c r="AA188" s="238"/>
      <c r="AI188" s="346"/>
    </row>
    <row r="189" spans="1:36">
      <c r="A189" s="346"/>
      <c r="B189" s="243" t="str">
        <f>IF(G193=2,"  Error-2 Checked","  (Check One)")</f>
        <v xml:space="preserve">  (Check One)</v>
      </c>
      <c r="C189" s="237"/>
      <c r="D189" s="237"/>
      <c r="E189" s="237"/>
      <c r="F189" s="237"/>
      <c r="G189" s="248" t="str">
        <f>IF(AND(ISBLANK(G190),ISBLANK(G191),ISBLANK(G192)),"x","")</f>
        <v>x</v>
      </c>
      <c r="H189" s="569" t="s">
        <v>379</v>
      </c>
      <c r="I189" s="560"/>
      <c r="J189" s="560"/>
      <c r="K189" s="560"/>
      <c r="L189" s="560"/>
      <c r="M189" s="560"/>
      <c r="N189" s="560"/>
      <c r="O189" s="560"/>
      <c r="P189" s="560"/>
      <c r="Q189" s="560"/>
      <c r="R189" s="560"/>
      <c r="S189" s="560"/>
      <c r="T189" s="560"/>
      <c r="U189" s="560"/>
      <c r="V189" s="560"/>
      <c r="W189" s="560"/>
      <c r="X189" s="560"/>
      <c r="Y189" s="565"/>
      <c r="Z189" s="565"/>
      <c r="AA189" s="519"/>
      <c r="AI189" s="346"/>
    </row>
    <row r="190" spans="1:36">
      <c r="A190" s="346"/>
      <c r="B190" s="243"/>
      <c r="C190" s="237"/>
      <c r="D190" s="237"/>
      <c r="E190" s="237"/>
      <c r="F190" s="237"/>
      <c r="G190" s="437"/>
      <c r="H190" s="569" t="s">
        <v>380</v>
      </c>
      <c r="I190" s="560"/>
      <c r="J190" s="560"/>
      <c r="K190" s="560"/>
      <c r="L190" s="560"/>
      <c r="M190" s="560"/>
      <c r="N190" s="557"/>
      <c r="O190" s="297"/>
      <c r="P190" s="297"/>
      <c r="Q190" s="297"/>
      <c r="R190" s="565"/>
      <c r="S190" s="583"/>
      <c r="T190" s="565"/>
      <c r="U190" s="565"/>
      <c r="V190" s="565"/>
      <c r="W190" s="565"/>
      <c r="X190" s="583"/>
      <c r="Y190" s="565"/>
      <c r="Z190" s="565"/>
      <c r="AA190" s="519"/>
      <c r="AI190" s="346"/>
    </row>
    <row r="191" spans="1:36">
      <c r="A191" s="346"/>
      <c r="B191" s="243"/>
      <c r="C191" s="237"/>
      <c r="D191" s="237"/>
      <c r="E191" s="237"/>
      <c r="F191" s="237"/>
      <c r="G191" s="437"/>
      <c r="H191" s="569" t="s">
        <v>381</v>
      </c>
      <c r="I191" s="566"/>
      <c r="J191" s="566"/>
      <c r="K191" s="566"/>
      <c r="L191" s="566"/>
      <c r="M191" s="566"/>
      <c r="N191" s="566"/>
      <c r="O191" s="566"/>
      <c r="P191" s="566"/>
      <c r="Q191" s="566"/>
      <c r="R191" s="566"/>
      <c r="S191" s="566"/>
      <c r="T191" s="566"/>
      <c r="U191" s="566"/>
      <c r="V191" s="566"/>
      <c r="W191" s="566"/>
      <c r="X191" s="566"/>
      <c r="Y191" s="557"/>
      <c r="Z191" s="237"/>
      <c r="AA191" s="558"/>
      <c r="AI191" s="346"/>
    </row>
    <row r="192" spans="1:36">
      <c r="A192" s="346"/>
      <c r="B192" s="243"/>
      <c r="C192" s="237"/>
      <c r="D192" s="237"/>
      <c r="E192" s="237"/>
      <c r="F192" s="237"/>
      <c r="G192" s="437"/>
      <c r="H192" s="560" t="s">
        <v>382</v>
      </c>
      <c r="I192" s="565"/>
      <c r="J192" s="565"/>
      <c r="K192" s="565"/>
      <c r="L192" s="565"/>
      <c r="M192" s="565"/>
      <c r="N192" s="565"/>
      <c r="O192" s="565"/>
      <c r="P192" s="565"/>
      <c r="Q192" s="565"/>
      <c r="R192" s="565"/>
      <c r="S192" s="565"/>
      <c r="T192" s="565"/>
      <c r="U192" s="565"/>
      <c r="V192" s="565"/>
      <c r="W192" s="565"/>
      <c r="X192" s="565"/>
      <c r="Y192" s="565"/>
      <c r="Z192" s="565"/>
      <c r="AA192" s="519"/>
      <c r="AI192" s="346"/>
    </row>
    <row r="193" spans="1:35">
      <c r="A193" s="346"/>
      <c r="B193" s="243"/>
      <c r="C193" s="237"/>
      <c r="D193" s="237"/>
      <c r="E193" s="237"/>
      <c r="F193" s="237"/>
      <c r="G193" s="258">
        <f>IF(AND(ISBLANK(G190),ISBLANK(G191),ISBLANK(G192)),0,IF(OR(AND(NOT(ISBLANK(G190)),ISBLANK(G191),ISBLANK(G192)),AND(NOT(ISBLANK(G191)),ISBLANK(G190),ISBLANK(G192)),AND(NOT(ISBLANK(G192)),ISBLANK(G190),ISBLANK(G191))),1,2))</f>
        <v>0</v>
      </c>
      <c r="H193" s="237"/>
      <c r="I193" s="237"/>
      <c r="J193" s="237"/>
      <c r="K193" s="237"/>
      <c r="L193" s="237"/>
      <c r="M193" s="237"/>
      <c r="N193" s="237"/>
      <c r="O193" s="237"/>
      <c r="P193" s="237"/>
      <c r="Q193" s="237"/>
      <c r="R193" s="237"/>
      <c r="S193" s="237"/>
      <c r="T193" s="237"/>
      <c r="U193" s="237"/>
      <c r="V193" s="237"/>
      <c r="W193" s="237"/>
      <c r="X193" s="237"/>
      <c r="Y193" s="237"/>
      <c r="Z193" s="237"/>
      <c r="AA193" s="238"/>
      <c r="AI193" s="346"/>
    </row>
    <row r="194" spans="1:35" s="447" customFormat="1" ht="20.25" customHeight="1">
      <c r="A194" s="635"/>
      <c r="B194" s="1124" t="s">
        <v>368</v>
      </c>
      <c r="C194" s="1007"/>
      <c r="D194" s="1007"/>
      <c r="E194" s="1007"/>
      <c r="F194" s="1007"/>
      <c r="G194" s="1007"/>
      <c r="H194" s="1007"/>
      <c r="I194" s="899"/>
      <c r="J194" s="1219"/>
      <c r="K194" s="1220"/>
      <c r="L194" s="1220"/>
      <c r="M194" s="1220"/>
      <c r="N194" s="1220"/>
      <c r="O194" s="1220"/>
      <c r="P194" s="1220"/>
      <c r="Q194" s="1220"/>
      <c r="R194" s="1221"/>
      <c r="S194" s="448"/>
      <c r="T194" s="448"/>
      <c r="U194" s="448"/>
      <c r="V194" s="448"/>
      <c r="W194" s="448"/>
      <c r="X194" s="448"/>
      <c r="Y194" s="448"/>
      <c r="Z194" s="448"/>
      <c r="AA194" s="567"/>
      <c r="AI194" s="635"/>
    </row>
    <row r="195" spans="1:35">
      <c r="A195" s="346"/>
      <c r="B195" s="243" t="str">
        <f>IF(G198=2,"  Error-2 Checked","  (Check One)")</f>
        <v xml:space="preserve">  (Check One)</v>
      </c>
      <c r="C195" s="237"/>
      <c r="D195" s="237"/>
      <c r="E195" s="237"/>
      <c r="F195" s="237"/>
      <c r="G195" s="248" t="str">
        <f>IF(AND(ISBLANK(J194),ISBLANK(G196),ISBLANK(G197)),"x","")</f>
        <v>x</v>
      </c>
      <c r="H195" s="213" t="s">
        <v>383</v>
      </c>
      <c r="I195" s="237"/>
      <c r="J195" s="237"/>
      <c r="K195" s="237"/>
      <c r="L195" s="237"/>
      <c r="M195" s="237"/>
      <c r="N195" s="237"/>
      <c r="O195" s="237"/>
      <c r="P195" s="237"/>
      <c r="Q195" s="237"/>
      <c r="R195" s="237"/>
      <c r="S195" s="237"/>
      <c r="T195" s="237"/>
      <c r="U195" s="237"/>
      <c r="V195" s="237"/>
      <c r="W195" s="237"/>
      <c r="X195" s="237"/>
      <c r="Y195" s="237"/>
      <c r="Z195" s="237"/>
      <c r="AA195" s="238"/>
      <c r="AI195" s="346"/>
    </row>
    <row r="196" spans="1:35">
      <c r="A196" s="346"/>
      <c r="B196" s="243"/>
      <c r="C196" s="237"/>
      <c r="D196" s="237"/>
      <c r="E196" s="237"/>
      <c r="F196" s="237"/>
      <c r="G196" s="851"/>
      <c r="H196" s="213" t="s">
        <v>384</v>
      </c>
      <c r="I196" s="237"/>
      <c r="J196" s="237"/>
      <c r="K196" s="237"/>
      <c r="L196" s="237"/>
      <c r="M196" s="237"/>
      <c r="N196" s="237"/>
      <c r="O196" s="237"/>
      <c r="P196" s="237"/>
      <c r="Q196" s="237"/>
      <c r="R196" s="237"/>
      <c r="S196" s="237"/>
      <c r="T196" s="237"/>
      <c r="U196" s="237"/>
      <c r="V196" s="237"/>
      <c r="W196" s="237"/>
      <c r="X196" s="237"/>
      <c r="Y196" s="237"/>
      <c r="Z196" s="237"/>
      <c r="AA196" s="238"/>
      <c r="AI196" s="346"/>
    </row>
    <row r="197" spans="1:35">
      <c r="A197" s="346"/>
      <c r="B197" s="243"/>
      <c r="C197" s="237"/>
      <c r="D197" s="237"/>
      <c r="E197" s="237"/>
      <c r="F197" s="237"/>
      <c r="G197" s="851"/>
      <c r="H197" s="213" t="s">
        <v>385</v>
      </c>
      <c r="I197" s="237"/>
      <c r="J197" s="237"/>
      <c r="K197" s="237"/>
      <c r="L197" s="237"/>
      <c r="M197" s="237"/>
      <c r="N197" s="237"/>
      <c r="O197" s="237"/>
      <c r="P197" s="237"/>
      <c r="Q197" s="237"/>
      <c r="R197" s="237"/>
      <c r="S197" s="237"/>
      <c r="T197" s="237"/>
      <c r="U197" s="237"/>
      <c r="V197" s="237"/>
      <c r="W197" s="237"/>
      <c r="X197" s="237"/>
      <c r="Y197" s="237"/>
      <c r="Z197" s="237"/>
      <c r="AA197" s="238"/>
      <c r="AI197" s="346"/>
    </row>
    <row r="198" spans="1:35">
      <c r="A198" s="346"/>
      <c r="B198" s="243"/>
      <c r="C198" s="237"/>
      <c r="D198" s="237"/>
      <c r="E198" s="237"/>
      <c r="F198" s="237"/>
      <c r="G198" s="258">
        <f>IF(AND(ISBLANK(G196),ISBLANK(G197)),0,IF(OR(AND(NOT(ISBLANK(G196)),ISBLANK(G197)),AND(NOT(ISBLANK(G197)),ISBLANK(G196))),1,2))</f>
        <v>0</v>
      </c>
      <c r="H198" s="237"/>
      <c r="I198" s="237"/>
      <c r="J198" s="237"/>
      <c r="K198" s="237"/>
      <c r="L198" s="237"/>
      <c r="M198" s="237"/>
      <c r="N198" s="237"/>
      <c r="O198" s="237"/>
      <c r="P198" s="237"/>
      <c r="Q198" s="237"/>
      <c r="R198" s="237"/>
      <c r="S198" s="237"/>
      <c r="T198" s="237"/>
      <c r="U198" s="237"/>
      <c r="V198" s="237"/>
      <c r="W198" s="237"/>
      <c r="X198" s="237"/>
      <c r="Y198" s="237"/>
      <c r="Z198" s="237"/>
      <c r="AA198" s="238"/>
      <c r="AI198" s="346"/>
    </row>
    <row r="199" spans="1:35">
      <c r="A199" s="346"/>
      <c r="B199" s="930" t="s">
        <v>369</v>
      </c>
      <c r="C199" s="1172"/>
      <c r="D199" s="1172"/>
      <c r="E199" s="1172"/>
      <c r="F199" s="1172"/>
      <c r="G199" s="248" t="str">
        <f>IF(AND(ISBLANK(G200),ISBLANK(G201),ISBLANK(G202)),"x","")</f>
        <v>x</v>
      </c>
      <c r="H199" s="213" t="str">
        <f>IF(AND(B81="Final Child Support Obligation Payable By Father:",U44=1)," No Legal Decision-making Order-Child with Mother for greater part of last 6 mos.",IF(AND(B81="Final Child Support Obligation Payable By Father:",U44&gt;1)," No Legal Decision-making Order-Children with Mother for greater part of last 6 mos.",IF(AND(B81="Final Child Support Obligation Payable By Mother:",U44=1)," No Legal Decision-making Order--Child with Father for greater part of last 6 mos.",IF(AND(B81="Final Child Support Obligation Payable By Mother:",U44&gt;1)," No Legal Decision-making Order-Children with Father for greater part of Last 6 mos."," No Legal Decision-making Order-Child[ren] w/ Obligee for greater part of last 6 mos."))))</f>
        <v xml:space="preserve"> No Legal Decision-making Order-Child[ren] w/ Obligee for greater part of last 6 mos.</v>
      </c>
      <c r="I199" s="237"/>
      <c r="J199" s="237"/>
      <c r="K199" s="237"/>
      <c r="L199" s="237"/>
      <c r="M199" s="237"/>
      <c r="N199" s="237"/>
      <c r="O199" s="237"/>
      <c r="P199" s="237"/>
      <c r="Q199" s="237"/>
      <c r="R199" s="237"/>
      <c r="S199" s="237"/>
      <c r="T199" s="237"/>
      <c r="U199" s="237"/>
      <c r="V199" s="237"/>
      <c r="W199" s="237"/>
      <c r="X199" s="237"/>
      <c r="Y199" s="237"/>
      <c r="Z199" s="237"/>
      <c r="AA199" s="238"/>
      <c r="AI199" s="346"/>
    </row>
    <row r="200" spans="1:35">
      <c r="A200" s="346"/>
      <c r="B200" s="548" t="str">
        <f>IF(G203=2,"  Error-2 Checked","  (Check One)")</f>
        <v xml:space="preserve">  (Check One)</v>
      </c>
      <c r="C200" s="237"/>
      <c r="D200" s="237"/>
      <c r="E200" s="237"/>
      <c r="F200" s="237"/>
      <c r="G200" s="437"/>
      <c r="H200" s="213" t="str">
        <f>IF(U44=1," Child lives with a non-parent caretaker.",IF(U44&gt;1," Children live with a non-parent caretaker."," Child[ren] live(s) with a non-parent caretaker."))</f>
        <v xml:space="preserve"> Children live with a non-parent caretaker.</v>
      </c>
      <c r="I200" s="237"/>
      <c r="J200" s="237"/>
      <c r="K200" s="237"/>
      <c r="L200" s="237"/>
      <c r="M200" s="237"/>
      <c r="N200" s="237"/>
      <c r="O200" s="237"/>
      <c r="P200" s="237"/>
      <c r="Q200" s="237"/>
      <c r="R200" s="237"/>
      <c r="S200" s="237"/>
      <c r="T200" s="237"/>
      <c r="U200" s="237"/>
      <c r="V200" s="237"/>
      <c r="W200" s="237"/>
      <c r="X200" s="237"/>
      <c r="Y200" s="237"/>
      <c r="Z200" s="237"/>
      <c r="AA200" s="238"/>
      <c r="AI200" s="346"/>
    </row>
    <row r="201" spans="1:35">
      <c r="A201" s="346"/>
      <c r="B201" s="243"/>
      <c r="C201" s="237"/>
      <c r="D201" s="237"/>
      <c r="E201" s="237"/>
      <c r="F201" s="237" t="s">
        <v>203</v>
      </c>
      <c r="G201" s="437"/>
      <c r="H201" s="213" t="str">
        <f>IF(B81="Final Child Support Obligation Payable By Father:"," Award sole legal decision-making to Mother per attached Parenting Plan.",IF(B81="Final Child Support Obligation Payable By Mother:","Award sole legal decision-making to Father per attached Parenting Plan"," Award sole legal decision-making to Obligee per attached Parenting Plan"))</f>
        <v xml:space="preserve"> Award sole legal decision-making to Obligee per attached Parenting Plan</v>
      </c>
      <c r="I201" s="237"/>
      <c r="J201" s="237"/>
      <c r="K201" s="237"/>
      <c r="L201" s="237"/>
      <c r="M201" s="237"/>
      <c r="N201" s="237"/>
      <c r="O201" s="237"/>
      <c r="P201" s="237"/>
      <c r="Q201" s="237"/>
      <c r="R201" s="237"/>
      <c r="S201" s="237"/>
      <c r="T201" s="237"/>
      <c r="U201" s="237"/>
      <c r="V201" s="237"/>
      <c r="W201" s="237"/>
      <c r="X201" s="237"/>
      <c r="Y201" s="237"/>
      <c r="Z201" s="237"/>
      <c r="AA201" s="238"/>
      <c r="AI201" s="346"/>
    </row>
    <row r="202" spans="1:35">
      <c r="A202" s="346"/>
      <c r="B202" s="243"/>
      <c r="C202" s="237"/>
      <c r="D202" s="237"/>
      <c r="E202" s="237"/>
      <c r="F202" s="237"/>
      <c r="G202" s="437"/>
      <c r="H202" s="213" t="s">
        <v>628</v>
      </c>
      <c r="I202" s="237"/>
      <c r="J202" s="237"/>
      <c r="K202" s="237"/>
      <c r="L202" s="237"/>
      <c r="M202" s="237"/>
      <c r="N202" s="237"/>
      <c r="O202" s="237"/>
      <c r="P202" s="237"/>
      <c r="Q202" s="237"/>
      <c r="R202" s="237"/>
      <c r="S202" s="237"/>
      <c r="T202" s="237"/>
      <c r="U202" s="237"/>
      <c r="V202" s="237"/>
      <c r="W202" s="237"/>
      <c r="X202" s="237"/>
      <c r="Y202" s="237"/>
      <c r="Z202" s="237"/>
      <c r="AA202" s="238"/>
      <c r="AI202" s="346"/>
    </row>
    <row r="203" spans="1:35">
      <c r="A203" s="346"/>
      <c r="B203" s="243"/>
      <c r="C203" s="237"/>
      <c r="D203" s="237"/>
      <c r="E203" s="237"/>
      <c r="F203" s="237"/>
      <c r="G203" s="612">
        <f>IF(AND(ISBLANK(G200),ISBLANK(G201),ISBLANK(G202)),0,IF(OR(AND(NOT(ISBLANK(G200)),ISBLANK(G201),ISBLANK(G202)),AND(NOT(ISBLANK(G201)),ISBLANK(G200),ISBLANK(G202)),AND(NOT(ISBLANK(G202)),ISBLANK(G200),ISBLANK(G201))),1,2))</f>
        <v>0</v>
      </c>
      <c r="H203" s="213"/>
      <c r="I203" s="237"/>
      <c r="J203" s="237"/>
      <c r="K203" s="237"/>
      <c r="L203" s="237"/>
      <c r="M203" s="237"/>
      <c r="N203" s="237"/>
      <c r="O203" s="237"/>
      <c r="P203" s="237"/>
      <c r="Q203" s="237"/>
      <c r="R203" s="237"/>
      <c r="S203" s="237"/>
      <c r="T203" s="237"/>
      <c r="U203" s="237"/>
      <c r="V203" s="237"/>
      <c r="W203" s="237"/>
      <c r="X203" s="237"/>
      <c r="Y203" s="237"/>
      <c r="Z203" s="237"/>
      <c r="AA203" s="238"/>
      <c r="AI203" s="346"/>
    </row>
    <row r="204" spans="1:35" s="447" customFormat="1" ht="22.5" customHeight="1">
      <c r="A204" s="635"/>
      <c r="B204" s="1124" t="s">
        <v>557</v>
      </c>
      <c r="C204" s="1125"/>
      <c r="D204" s="1125"/>
      <c r="E204" s="1125"/>
      <c r="F204" s="1125"/>
      <c r="G204" s="1125"/>
      <c r="H204" s="1125"/>
      <c r="I204" s="898"/>
      <c r="J204" s="898"/>
      <c r="K204" s="898"/>
      <c r="L204" s="898"/>
      <c r="M204" s="898"/>
      <c r="N204" s="898"/>
      <c r="O204" s="898"/>
      <c r="P204" s="898"/>
      <c r="Q204" s="898"/>
      <c r="R204" s="898"/>
      <c r="S204" s="898"/>
      <c r="T204" s="898"/>
      <c r="U204" s="898"/>
      <c r="V204" s="898"/>
      <c r="W204" s="898"/>
      <c r="X204" s="898"/>
      <c r="Y204" s="898"/>
      <c r="Z204" s="898"/>
      <c r="AA204" s="899"/>
      <c r="AI204" s="635"/>
    </row>
    <row r="205" spans="1:35" s="447" customFormat="1" ht="15" customHeight="1">
      <c r="A205" s="635"/>
      <c r="B205" s="703"/>
      <c r="C205" s="897" t="s">
        <v>556</v>
      </c>
      <c r="D205" s="898"/>
      <c r="E205" s="898"/>
      <c r="F205" s="898"/>
      <c r="G205" s="898"/>
      <c r="H205" s="898"/>
      <c r="I205" s="898"/>
      <c r="J205" s="898"/>
      <c r="K205" s="898"/>
      <c r="L205" s="898"/>
      <c r="M205" s="898"/>
      <c r="N205" s="898"/>
      <c r="O205" s="898"/>
      <c r="P205" s="898"/>
      <c r="Q205" s="898"/>
      <c r="R205" s="898"/>
      <c r="S205" s="898"/>
      <c r="T205" s="898"/>
      <c r="U205" s="898"/>
      <c r="V205" s="898"/>
      <c r="W205" s="898"/>
      <c r="X205" s="898"/>
      <c r="Y205" s="898"/>
      <c r="Z205" s="898"/>
      <c r="AA205" s="899"/>
      <c r="AI205" s="635"/>
    </row>
    <row r="206" spans="1:35">
      <c r="A206" s="346"/>
      <c r="B206" s="924"/>
      <c r="C206" s="925"/>
      <c r="D206" s="925"/>
      <c r="E206" s="925"/>
      <c r="F206" s="925"/>
      <c r="G206" s="437"/>
      <c r="H206" s="702" t="s">
        <v>372</v>
      </c>
      <c r="I206" s="438"/>
      <c r="J206" s="438"/>
      <c r="K206" s="438"/>
      <c r="L206" s="438"/>
      <c r="M206" s="438"/>
      <c r="N206" s="438"/>
      <c r="O206" s="438"/>
      <c r="P206" s="438"/>
      <c r="Q206" s="438"/>
      <c r="R206" s="438"/>
      <c r="S206" s="438"/>
      <c r="T206" s="438"/>
      <c r="U206" s="438"/>
      <c r="V206" s="438"/>
      <c r="W206" s="438"/>
      <c r="X206" s="438"/>
      <c r="Y206" s="438"/>
      <c r="Z206" s="438"/>
      <c r="AA206" s="421"/>
      <c r="AB206" s="447"/>
      <c r="AC206" s="447"/>
      <c r="AD206" s="447"/>
      <c r="AI206" s="346"/>
    </row>
    <row r="207" spans="1:35">
      <c r="A207" s="346"/>
      <c r="B207" s="924"/>
      <c r="C207" s="925"/>
      <c r="D207" s="925"/>
      <c r="E207" s="925"/>
      <c r="F207" s="925"/>
      <c r="G207" s="438"/>
      <c r="H207" s="1364"/>
      <c r="I207" s="1365"/>
      <c r="J207" s="1365"/>
      <c r="K207" s="1366"/>
      <c r="L207" s="992" t="s">
        <v>396</v>
      </c>
      <c r="M207" s="993"/>
      <c r="N207" s="993"/>
      <c r="O207" s="994"/>
      <c r="P207" s="994"/>
      <c r="Q207" s="994"/>
      <c r="R207" s="994"/>
      <c r="S207" s="994"/>
      <c r="T207" s="994"/>
      <c r="U207" s="994"/>
      <c r="V207" s="994"/>
      <c r="W207" s="994"/>
      <c r="X207" s="994"/>
      <c r="Y207" s="994"/>
      <c r="Z207" s="994"/>
      <c r="AA207" s="939"/>
      <c r="AB207" s="447"/>
      <c r="AI207" s="639"/>
    </row>
    <row r="208" spans="1:35" hidden="1">
      <c r="A208" s="346"/>
      <c r="B208" s="605"/>
      <c r="C208" s="606"/>
      <c r="D208" s="606"/>
      <c r="E208" s="606"/>
      <c r="F208" s="606"/>
      <c r="G208" s="221"/>
      <c r="H208" s="607"/>
      <c r="I208" s="608"/>
      <c r="J208" s="608"/>
      <c r="K208" s="608"/>
      <c r="L208" s="609"/>
      <c r="M208" s="610"/>
      <c r="N208" s="610"/>
      <c r="O208" s="610"/>
      <c r="P208" s="610"/>
      <c r="Q208" s="610"/>
      <c r="R208" s="610"/>
      <c r="S208" s="926">
        <f ca="1">L32</f>
        <v>42187</v>
      </c>
      <c r="T208" s="926"/>
      <c r="U208" s="926"/>
      <c r="V208" s="926"/>
      <c r="W208" s="926"/>
      <c r="X208" s="926"/>
      <c r="Y208" s="926"/>
      <c r="Z208" s="610"/>
      <c r="AA208" s="611"/>
      <c r="AI208" s="640"/>
    </row>
    <row r="209" spans="1:35">
      <c r="A209" s="346"/>
      <c r="B209" s="538"/>
      <c r="C209" s="438"/>
      <c r="D209" s="438"/>
      <c r="E209" s="438"/>
      <c r="F209" s="438"/>
      <c r="G209" s="588"/>
      <c r="H209" s="587"/>
      <c r="I209" s="1383" t="s">
        <v>566</v>
      </c>
      <c r="J209" s="993"/>
      <c r="K209" s="993"/>
      <c r="L209" s="993"/>
      <c r="M209" s="993"/>
      <c r="N209" s="993"/>
      <c r="O209" s="993"/>
      <c r="P209" s="993"/>
      <c r="Q209" s="993"/>
      <c r="R209" s="993"/>
      <c r="S209" s="939"/>
      <c r="T209" s="1000" t="str">
        <f>IF(AND(NOT(ISBLANK(G206)),ISBLANK(H210)),S208+90,"")</f>
        <v/>
      </c>
      <c r="U209" s="1382"/>
      <c r="V209" s="1382"/>
      <c r="W209" s="1382"/>
      <c r="X209" s="1382"/>
      <c r="Y209" s="1382"/>
      <c r="Z209" s="1002"/>
      <c r="AA209" s="238"/>
      <c r="AI209" s="640"/>
    </row>
    <row r="210" spans="1:35">
      <c r="A210" s="346"/>
      <c r="B210" s="538"/>
      <c r="C210" s="438"/>
      <c r="D210" s="438"/>
      <c r="E210" s="438"/>
      <c r="F210" s="438"/>
      <c r="G210" s="588"/>
      <c r="H210" s="586"/>
      <c r="I210" s="1383" t="s">
        <v>397</v>
      </c>
      <c r="J210" s="993"/>
      <c r="K210" s="993"/>
      <c r="L210" s="993"/>
      <c r="M210" s="993"/>
      <c r="N210" s="993"/>
      <c r="O210" s="993"/>
      <c r="P210" s="993"/>
      <c r="Q210" s="993"/>
      <c r="R210" s="993"/>
      <c r="S210" s="939"/>
      <c r="T210" s="988"/>
      <c r="U210" s="989"/>
      <c r="V210" s="989"/>
      <c r="W210" s="989"/>
      <c r="X210" s="989"/>
      <c r="Y210" s="989"/>
      <c r="Z210" s="990"/>
      <c r="AA210" s="238"/>
      <c r="AI210" s="346"/>
    </row>
    <row r="211" spans="1:35" s="447" customFormat="1" ht="20.25" customHeight="1">
      <c r="A211" s="635"/>
      <c r="B211" s="737"/>
      <c r="C211" s="938" t="s">
        <v>555</v>
      </c>
      <c r="D211" s="916"/>
      <c r="E211" s="916"/>
      <c r="F211" s="916"/>
      <c r="G211" s="916"/>
      <c r="H211" s="916"/>
      <c r="I211" s="916"/>
      <c r="J211" s="916"/>
      <c r="K211" s="916"/>
      <c r="L211" s="916"/>
      <c r="M211" s="916"/>
      <c r="N211" s="916"/>
      <c r="O211" s="916"/>
      <c r="P211" s="916"/>
      <c r="Q211" s="916"/>
      <c r="R211" s="916"/>
      <c r="S211" s="916"/>
      <c r="T211" s="916"/>
      <c r="U211" s="916"/>
      <c r="V211" s="916"/>
      <c r="W211" s="916"/>
      <c r="X211" s="916"/>
      <c r="Y211" s="916"/>
      <c r="Z211" s="916"/>
      <c r="AA211" s="939"/>
      <c r="AI211" s="635"/>
    </row>
    <row r="212" spans="1:35" ht="15" customHeight="1">
      <c r="A212" s="346"/>
      <c r="B212" s="706"/>
      <c r="C212" s="346"/>
      <c r="D212" s="346"/>
      <c r="E212" s="346"/>
      <c r="F212" s="346"/>
      <c r="G212" s="927" t="s">
        <v>547</v>
      </c>
      <c r="H212" s="929"/>
      <c r="I212" s="929"/>
      <c r="J212" s="929"/>
      <c r="K212" s="929"/>
      <c r="L212" s="929"/>
      <c r="M212" s="929"/>
      <c r="N212" s="916"/>
      <c r="O212" s="916"/>
      <c r="P212" s="916"/>
      <c r="Q212" s="916"/>
      <c r="R212" s="939"/>
      <c r="S212" s="940"/>
      <c r="T212" s="941"/>
      <c r="U212" s="942"/>
      <c r="V212" s="705"/>
      <c r="W212" s="707"/>
      <c r="X212" s="707"/>
      <c r="Y212" s="708"/>
      <c r="Z212" s="708"/>
      <c r="AA212" s="421"/>
      <c r="AI212" s="346"/>
    </row>
    <row r="213" spans="1:35">
      <c r="A213" s="346"/>
      <c r="B213" s="585"/>
      <c r="C213" s="446"/>
      <c r="D213" s="446"/>
      <c r="E213" s="446"/>
      <c r="F213" s="446"/>
      <c r="G213" s="735"/>
      <c r="H213" s="446"/>
      <c r="I213" s="446"/>
      <c r="J213" s="446"/>
      <c r="K213" s="446"/>
      <c r="L213" s="446"/>
      <c r="M213" s="446"/>
      <c r="N213" s="446"/>
      <c r="O213" s="446"/>
      <c r="P213" s="446"/>
      <c r="Q213" s="446"/>
      <c r="R213" s="446"/>
      <c r="S213" s="446"/>
      <c r="T213" s="446"/>
      <c r="U213" s="446"/>
      <c r="V213" s="446"/>
      <c r="W213" s="446"/>
      <c r="X213" s="446"/>
      <c r="Y213" s="446"/>
      <c r="Z213" s="446"/>
      <c r="AA213" s="736"/>
      <c r="AI213" s="346"/>
    </row>
    <row r="214" spans="1:35" ht="39" customHeight="1">
      <c r="A214" s="346"/>
      <c r="B214" s="1229" t="s">
        <v>351</v>
      </c>
      <c r="C214" s="1230"/>
      <c r="D214" s="1230"/>
      <c r="E214" s="1230"/>
      <c r="F214" s="1230"/>
      <c r="G214" s="1230"/>
      <c r="H214" s="1230"/>
      <c r="I214" s="1230"/>
      <c r="J214" s="1230"/>
      <c r="K214" s="1230"/>
      <c r="L214" s="1230"/>
      <c r="M214" s="1230"/>
      <c r="N214" s="1230"/>
      <c r="O214" s="1230"/>
      <c r="P214" s="1230"/>
      <c r="Q214" s="1230"/>
      <c r="R214" s="1230"/>
      <c r="S214" s="1230"/>
      <c r="T214" s="1230"/>
      <c r="U214" s="1230"/>
      <c r="V214" s="1230"/>
      <c r="W214" s="1230"/>
      <c r="X214" s="1230"/>
      <c r="Y214" s="1230"/>
      <c r="Z214" s="1230"/>
      <c r="AA214" s="1231"/>
      <c r="AI214" s="346"/>
    </row>
    <row r="215" spans="1:35">
      <c r="A215" s="346"/>
      <c r="B215" s="1378" t="s">
        <v>515</v>
      </c>
      <c r="C215" s="1379"/>
      <c r="D215" s="1379"/>
      <c r="E215" s="1379"/>
      <c r="F215" s="1379"/>
      <c r="G215" s="1379"/>
      <c r="H215" s="1379"/>
      <c r="I215" s="1379"/>
      <c r="J215" s="1379"/>
      <c r="K215" s="1379"/>
      <c r="L215" s="1379"/>
      <c r="M215" s="1379"/>
      <c r="N215" s="1379"/>
      <c r="O215" s="1379"/>
      <c r="P215" s="1379"/>
      <c r="Q215" s="1379"/>
      <c r="R215" s="1379"/>
      <c r="S215" s="1379"/>
      <c r="T215" s="1379"/>
      <c r="U215" s="1379"/>
      <c r="V215" s="1379"/>
      <c r="W215" s="1379"/>
      <c r="X215" s="1379"/>
      <c r="Y215" s="1379"/>
      <c r="Z215" s="1379"/>
      <c r="AA215" s="1380"/>
      <c r="AI215" s="346"/>
    </row>
    <row r="216" spans="1:35">
      <c r="A216" s="346"/>
      <c r="B216" s="234"/>
      <c r="C216" s="527"/>
      <c r="D216" s="527"/>
      <c r="E216" s="527"/>
      <c r="F216" s="527"/>
      <c r="G216" s="528"/>
      <c r="H216" s="527"/>
      <c r="I216" s="527"/>
      <c r="J216" s="527"/>
      <c r="K216" s="527"/>
      <c r="L216" s="527"/>
      <c r="M216" s="527"/>
      <c r="N216" s="527"/>
      <c r="O216" s="527"/>
      <c r="P216" s="552"/>
      <c r="Q216" s="552"/>
      <c r="R216" s="552"/>
      <c r="S216" s="552"/>
      <c r="T216" s="552"/>
      <c r="U216" s="552"/>
      <c r="V216" s="552"/>
      <c r="W216" s="552"/>
      <c r="X216" s="552"/>
      <c r="Y216" s="552"/>
      <c r="Z216" s="552"/>
      <c r="AA216" s="553"/>
      <c r="AI216" s="346"/>
    </row>
    <row r="217" spans="1:35">
      <c r="A217" s="346"/>
      <c r="B217" s="243"/>
      <c r="C217" s="213" t="s">
        <v>516</v>
      </c>
      <c r="D217" s="237"/>
      <c r="E217" s="237"/>
      <c r="F217" s="237"/>
      <c r="G217" s="248" t="str">
        <f>IF(AND(ISBLANK(G218),ISBLANK(G219),ISBLANK(G220)),"x","")</f>
        <v>x</v>
      </c>
      <c r="H217" s="712" t="s">
        <v>517</v>
      </c>
      <c r="I217" s="237"/>
      <c r="J217" s="237"/>
      <c r="K217" s="237"/>
      <c r="L217" s="237"/>
      <c r="M217" s="237"/>
      <c r="N217" s="237"/>
      <c r="O217" s="237"/>
      <c r="P217" s="438"/>
      <c r="Q217" s="438"/>
      <c r="R217" s="438"/>
      <c r="S217" s="438"/>
      <c r="T217" s="438"/>
      <c r="U217" s="438"/>
      <c r="V217" s="438"/>
      <c r="W217" s="438"/>
      <c r="X217" s="438"/>
      <c r="Y217" s="438"/>
      <c r="Z217" s="438"/>
      <c r="AA217" s="421"/>
      <c r="AI217" s="346"/>
    </row>
    <row r="218" spans="1:35">
      <c r="A218" s="346"/>
      <c r="B218" s="243"/>
      <c r="C218" s="237"/>
      <c r="D218" s="237"/>
      <c r="E218" s="237"/>
      <c r="F218" s="237"/>
      <c r="G218" s="721"/>
      <c r="H218" s="213" t="s">
        <v>518</v>
      </c>
      <c r="I218" s="237"/>
      <c r="J218" s="237"/>
      <c r="K218" s="237"/>
      <c r="L218" s="237"/>
      <c r="M218" s="237"/>
      <c r="N218" s="237"/>
      <c r="O218" s="237"/>
      <c r="P218" s="438"/>
      <c r="Q218" s="438"/>
      <c r="R218" s="438"/>
      <c r="S218" s="438"/>
      <c r="T218" s="438"/>
      <c r="U218" s="438"/>
      <c r="V218" s="438"/>
      <c r="W218" s="438"/>
      <c r="X218" s="438"/>
      <c r="Y218" s="438"/>
      <c r="Z218" s="438"/>
      <c r="AA218" s="421"/>
      <c r="AI218" s="346"/>
    </row>
    <row r="219" spans="1:35">
      <c r="A219" s="346"/>
      <c r="B219" s="243"/>
      <c r="C219" s="237"/>
      <c r="D219" s="237"/>
      <c r="E219" s="237"/>
      <c r="F219" s="237"/>
      <c r="G219" s="721"/>
      <c r="H219" s="930" t="s">
        <v>543</v>
      </c>
      <c r="I219" s="916"/>
      <c r="J219" s="916"/>
      <c r="K219" s="916"/>
      <c r="L219" s="916"/>
      <c r="M219" s="916"/>
      <c r="N219" s="916"/>
      <c r="O219" s="916"/>
      <c r="P219" s="916"/>
      <c r="Q219" s="916"/>
      <c r="R219" s="1384" t="str">
        <f>IF(NOT(ISBLANK(G219)),"Amount of:","")</f>
        <v/>
      </c>
      <c r="S219" s="1384"/>
      <c r="T219" s="1384"/>
      <c r="U219" s="1385"/>
      <c r="V219" s="1385"/>
      <c r="W219" s="1385"/>
      <c r="X219" s="1385"/>
      <c r="Y219" s="1385"/>
      <c r="Z219" s="438"/>
      <c r="AA219" s="421"/>
      <c r="AI219" s="346"/>
    </row>
    <row r="220" spans="1:35">
      <c r="A220" s="346"/>
      <c r="B220" s="243"/>
      <c r="C220" s="237"/>
      <c r="D220" s="237"/>
      <c r="E220" s="237"/>
      <c r="F220" s="237"/>
      <c r="G220" s="721"/>
      <c r="H220" s="213" t="s">
        <v>519</v>
      </c>
      <c r="I220" s="237"/>
      <c r="J220" s="237"/>
      <c r="K220" s="237"/>
      <c r="L220" s="237"/>
      <c r="M220" s="237"/>
      <c r="N220" s="237"/>
      <c r="O220" s="237"/>
      <c r="P220" s="438"/>
      <c r="Q220" s="438"/>
      <c r="R220" s="438"/>
      <c r="S220" s="438"/>
      <c r="T220" s="438"/>
      <c r="U220" s="438"/>
      <c r="V220" s="438"/>
      <c r="W220" s="438"/>
      <c r="X220" s="438"/>
      <c r="Y220" s="438"/>
      <c r="Z220" s="438"/>
      <c r="AA220" s="421"/>
      <c r="AI220" s="346"/>
    </row>
    <row r="221" spans="1:35">
      <c r="A221" s="346"/>
      <c r="B221" s="243"/>
      <c r="C221" s="237"/>
      <c r="D221" s="237"/>
      <c r="E221" s="237"/>
      <c r="F221" s="237"/>
      <c r="G221" s="612">
        <f>IF(AND(ISBLANK(G218),ISBLANK(G219),ISBLANK(G220)),0,IF(OR(AND(NOT(ISBLANK(G218)),ISBLANK(G219),ISBLANK(G220)),AND(NOT(ISBLANK(G219)),ISBLANK(G218),ISBLANK(G220)),AND(NOT(ISBLANK(G220)),ISBLANK(G218),ISBLANK(G219))),1,2))</f>
        <v>0</v>
      </c>
      <c r="H221" s="237"/>
      <c r="I221" s="237"/>
      <c r="J221" s="237"/>
      <c r="K221" s="237"/>
      <c r="L221" s="237"/>
      <c r="M221" s="237"/>
      <c r="N221" s="237"/>
      <c r="O221" s="237"/>
      <c r="P221" s="438"/>
      <c r="Q221" s="438"/>
      <c r="R221" s="438"/>
      <c r="S221" s="438"/>
      <c r="T221" s="438"/>
      <c r="U221" s="438"/>
      <c r="V221" s="438"/>
      <c r="W221" s="438"/>
      <c r="X221" s="438"/>
      <c r="Y221" s="438"/>
      <c r="Z221" s="438"/>
      <c r="AA221" s="421"/>
      <c r="AI221" s="346"/>
    </row>
    <row r="222" spans="1:35">
      <c r="A222" s="346"/>
      <c r="B222" s="243"/>
      <c r="C222" s="213" t="s">
        <v>520</v>
      </c>
      <c r="D222" s="237"/>
      <c r="E222" s="237"/>
      <c r="F222" s="237"/>
      <c r="G222" s="248" t="str">
        <f>IF(AND(ISBLANK(G223),ISBLANK(G224),ISBLANK(G225)),"x","")</f>
        <v>x</v>
      </c>
      <c r="H222" s="712" t="s">
        <v>521</v>
      </c>
      <c r="I222" s="237"/>
      <c r="J222" s="237"/>
      <c r="K222" s="237"/>
      <c r="L222" s="237"/>
      <c r="M222" s="237"/>
      <c r="N222" s="237"/>
      <c r="O222" s="237"/>
      <c r="P222" s="438"/>
      <c r="Q222" s="438"/>
      <c r="R222" s="438"/>
      <c r="S222" s="438"/>
      <c r="T222" s="438"/>
      <c r="U222" s="438"/>
      <c r="V222" s="438"/>
      <c r="W222" s="438"/>
      <c r="X222" s="438"/>
      <c r="Y222" s="438"/>
      <c r="Z222" s="438"/>
      <c r="AA222" s="421"/>
      <c r="AI222" s="346"/>
    </row>
    <row r="223" spans="1:35">
      <c r="A223" s="346"/>
      <c r="B223" s="243"/>
      <c r="C223" s="237"/>
      <c r="D223" s="237"/>
      <c r="E223" s="237"/>
      <c r="F223" s="237"/>
      <c r="G223" s="721"/>
      <c r="H223" s="213" t="s">
        <v>522</v>
      </c>
      <c r="I223" s="237"/>
      <c r="J223" s="237"/>
      <c r="K223" s="237"/>
      <c r="L223" s="237"/>
      <c r="M223" s="237"/>
      <c r="N223" s="237"/>
      <c r="O223" s="237"/>
      <c r="P223" s="438"/>
      <c r="Q223" s="438"/>
      <c r="R223" s="438"/>
      <c r="S223" s="438"/>
      <c r="T223" s="438"/>
      <c r="U223" s="438"/>
      <c r="V223" s="438"/>
      <c r="W223" s="438"/>
      <c r="X223" s="438"/>
      <c r="Y223" s="438"/>
      <c r="Z223" s="438"/>
      <c r="AA223" s="421"/>
      <c r="AI223" s="346"/>
    </row>
    <row r="224" spans="1:35">
      <c r="A224" s="346"/>
      <c r="B224" s="243"/>
      <c r="C224" s="237"/>
      <c r="D224" s="237"/>
      <c r="E224" s="237"/>
      <c r="F224" s="237"/>
      <c r="G224" s="731"/>
      <c r="H224" s="930" t="s">
        <v>524</v>
      </c>
      <c r="I224" s="916"/>
      <c r="J224" s="915" t="str">
        <f>IF(NOT(ISBLANK(G224)),"Attorney Name:","")</f>
        <v/>
      </c>
      <c r="K224" s="916"/>
      <c r="L224" s="916"/>
      <c r="M224" s="916"/>
      <c r="N224" s="915"/>
      <c r="O224" s="931"/>
      <c r="P224" s="931"/>
      <c r="Q224" s="931"/>
      <c r="R224" s="931"/>
      <c r="S224" s="931"/>
      <c r="T224" s="931"/>
      <c r="U224" s="931"/>
      <c r="V224" s="931"/>
      <c r="W224" s="438"/>
      <c r="X224" s="438"/>
      <c r="Y224" s="438"/>
      <c r="Z224" s="438"/>
      <c r="AA224" s="421"/>
      <c r="AI224" s="346"/>
    </row>
    <row r="225" spans="1:35">
      <c r="A225" s="346"/>
      <c r="B225" s="243"/>
      <c r="C225" s="237"/>
      <c r="D225" s="237"/>
      <c r="E225" s="237"/>
      <c r="F225" s="237"/>
      <c r="G225" s="731"/>
      <c r="H225" s="930" t="s">
        <v>523</v>
      </c>
      <c r="I225" s="916"/>
      <c r="J225" s="916"/>
      <c r="K225" s="916"/>
      <c r="L225" s="916"/>
      <c r="N225" s="213" t="str">
        <f>IF(NOT(ISBLANK(G225)),"Name:","")</f>
        <v/>
      </c>
      <c r="O225" s="237"/>
      <c r="P225" s="915"/>
      <c r="Q225" s="931"/>
      <c r="R225" s="931"/>
      <c r="S225" s="931"/>
      <c r="T225" s="931"/>
      <c r="U225" s="931"/>
      <c r="V225" s="931"/>
      <c r="W225" s="931"/>
      <c r="X225" s="931"/>
      <c r="Y225" s="438"/>
      <c r="Z225" s="438"/>
      <c r="AA225" s="421"/>
      <c r="AI225" s="346"/>
    </row>
    <row r="226" spans="1:35">
      <c r="A226" s="346"/>
      <c r="B226" s="243"/>
      <c r="C226" s="237"/>
      <c r="D226" s="237"/>
      <c r="E226" s="237"/>
      <c r="F226" s="237"/>
      <c r="G226" s="612">
        <f>IF(AND(ISBLANK(G223),ISBLANK(G224),ISBLANK(G225)),0,IF(OR(AND(NOT(ISBLANK(G223)),ISBLANK(G224),ISBLANK(G225)),AND(NOT(ISBLANK(G224)),ISBLANK(G223),ISBLANK(G225)),AND(NOT(ISBLANK(G225)),ISBLANK(G223),ISBLANK(G224))),1,2))</f>
        <v>0</v>
      </c>
      <c r="H226" s="237"/>
      <c r="I226" s="237"/>
      <c r="J226" s="237"/>
      <c r="K226" s="237"/>
      <c r="L226" s="237"/>
      <c r="M226" s="237"/>
      <c r="N226" s="237"/>
      <c r="O226" s="237"/>
      <c r="P226" s="438"/>
      <c r="Q226" s="438"/>
      <c r="R226" s="438"/>
      <c r="S226" s="438"/>
      <c r="T226" s="438"/>
      <c r="U226" s="438"/>
      <c r="V226" s="438"/>
      <c r="W226" s="438"/>
      <c r="X226" s="438"/>
      <c r="Y226" s="438"/>
      <c r="Z226" s="438"/>
      <c r="AA226" s="421"/>
      <c r="AI226" s="346"/>
    </row>
    <row r="227" spans="1:35">
      <c r="A227" s="346"/>
      <c r="B227" s="243"/>
      <c r="C227" s="213" t="s">
        <v>525</v>
      </c>
      <c r="D227" s="237"/>
      <c r="E227" s="237"/>
      <c r="F227" s="237"/>
      <c r="G227" s="713"/>
      <c r="H227" s="237"/>
      <c r="I227" s="237"/>
      <c r="J227" s="237"/>
      <c r="K227" s="237"/>
      <c r="L227" s="237"/>
      <c r="M227" s="237"/>
      <c r="N227" s="237"/>
      <c r="O227" s="237"/>
      <c r="P227" s="438"/>
      <c r="Q227" s="438"/>
      <c r="R227" s="438"/>
      <c r="S227" s="438"/>
      <c r="T227" s="438"/>
      <c r="U227" s="438"/>
      <c r="V227" s="438"/>
      <c r="W227" s="438"/>
      <c r="X227" s="438"/>
      <c r="Y227" s="438"/>
      <c r="Z227" s="438"/>
      <c r="AA227" s="421"/>
      <c r="AI227" s="346"/>
    </row>
    <row r="228" spans="1:35">
      <c r="A228" s="346"/>
      <c r="B228" s="243"/>
      <c r="C228" s="237"/>
      <c r="D228" s="915" t="s">
        <v>526</v>
      </c>
      <c r="E228" s="916"/>
      <c r="F228" s="916"/>
      <c r="G228" s="916"/>
      <c r="H228" s="916"/>
      <c r="I228" s="932"/>
      <c r="J228" s="933"/>
      <c r="K228" s="933"/>
      <c r="L228" s="933"/>
      <c r="M228" s="933"/>
      <c r="N228" s="933"/>
      <c r="O228" s="933"/>
      <c r="P228" s="933"/>
      <c r="Q228" s="933"/>
      <c r="R228" s="934"/>
      <c r="S228" s="438"/>
      <c r="T228" s="438"/>
      <c r="U228" s="438"/>
      <c r="V228" s="438"/>
      <c r="W228" s="438"/>
      <c r="X228" s="438"/>
      <c r="Y228" s="438"/>
      <c r="Z228" s="438"/>
      <c r="AA228" s="421"/>
      <c r="AI228" s="346"/>
    </row>
    <row r="229" spans="1:35">
      <c r="A229" s="346"/>
      <c r="B229" s="243"/>
      <c r="C229" s="237"/>
      <c r="D229" s="915" t="s">
        <v>527</v>
      </c>
      <c r="E229" s="916"/>
      <c r="F229" s="916"/>
      <c r="G229" s="916"/>
      <c r="H229" s="916"/>
      <c r="I229" s="935"/>
      <c r="J229" s="936"/>
      <c r="K229" s="936"/>
      <c r="L229" s="936"/>
      <c r="M229" s="936"/>
      <c r="N229" s="936"/>
      <c r="O229" s="936"/>
      <c r="P229" s="936"/>
      <c r="Q229" s="936"/>
      <c r="R229" s="937"/>
      <c r="S229" s="438"/>
      <c r="T229" s="438"/>
      <c r="U229" s="438"/>
      <c r="V229" s="438"/>
      <c r="W229" s="438"/>
      <c r="X229" s="438"/>
      <c r="Y229" s="438"/>
      <c r="Z229" s="438"/>
      <c r="AA229" s="421"/>
      <c r="AI229" s="346"/>
    </row>
    <row r="230" spans="1:35">
      <c r="A230" s="346"/>
      <c r="B230" s="243"/>
      <c r="C230" s="237"/>
      <c r="D230" s="915" t="s">
        <v>528</v>
      </c>
      <c r="E230" s="916"/>
      <c r="F230" s="916"/>
      <c r="G230" s="916"/>
      <c r="H230" s="916"/>
      <c r="I230" s="912"/>
      <c r="J230" s="913"/>
      <c r="K230" s="913"/>
      <c r="L230" s="913"/>
      <c r="M230" s="913"/>
      <c r="N230" s="913"/>
      <c r="O230" s="913"/>
      <c r="P230" s="913"/>
      <c r="Q230" s="913"/>
      <c r="R230" s="914"/>
      <c r="S230" s="438"/>
      <c r="T230" s="438"/>
      <c r="U230" s="438"/>
      <c r="V230" s="438"/>
      <c r="W230" s="438"/>
      <c r="X230" s="438"/>
      <c r="Y230" s="438"/>
      <c r="Z230" s="438"/>
      <c r="AA230" s="421"/>
      <c r="AI230" s="346"/>
    </row>
    <row r="231" spans="1:35">
      <c r="A231" s="346"/>
      <c r="B231" s="243"/>
      <c r="C231" s="915" t="s">
        <v>529</v>
      </c>
      <c r="D231" s="1384"/>
      <c r="E231" s="1384"/>
      <c r="F231" s="1384"/>
      <c r="G231" s="1384"/>
      <c r="H231" s="1384"/>
      <c r="I231" s="1397"/>
      <c r="J231" s="1371"/>
      <c r="K231" s="1371"/>
      <c r="L231" s="1371"/>
      <c r="M231" s="1371"/>
      <c r="N231" s="1371"/>
      <c r="O231" s="1371"/>
      <c r="P231" s="1371"/>
      <c r="Q231" s="1371"/>
      <c r="R231" s="1372"/>
      <c r="S231" s="438"/>
      <c r="T231" s="438"/>
      <c r="U231" s="438"/>
      <c r="V231" s="438"/>
      <c r="W231" s="438"/>
      <c r="X231" s="438"/>
      <c r="Y231" s="438"/>
      <c r="Z231" s="438"/>
      <c r="AA231" s="421"/>
      <c r="AI231" s="346"/>
    </row>
    <row r="232" spans="1:35">
      <c r="A232" s="346"/>
      <c r="B232" s="243"/>
      <c r="C232" s="237"/>
      <c r="D232" s="439"/>
      <c r="E232" s="439"/>
      <c r="F232" s="438"/>
      <c r="G232" s="716"/>
      <c r="H232" s="438"/>
      <c r="I232" s="346"/>
      <c r="J232" s="346"/>
      <c r="K232" s="346"/>
      <c r="L232" s="346"/>
      <c r="M232" s="346"/>
      <c r="N232" s="346"/>
      <c r="O232" s="346"/>
      <c r="P232" s="346"/>
      <c r="Q232" s="346"/>
      <c r="R232" s="438"/>
      <c r="S232" s="438"/>
      <c r="T232" s="438"/>
      <c r="U232" s="438"/>
      <c r="V232" s="438"/>
      <c r="W232" s="438"/>
      <c r="X232" s="438"/>
      <c r="Y232" s="438"/>
      <c r="Z232" s="438"/>
      <c r="AA232" s="421"/>
      <c r="AI232" s="346"/>
    </row>
    <row r="233" spans="1:35">
      <c r="A233" s="346"/>
      <c r="B233" s="243"/>
      <c r="C233" s="915" t="s">
        <v>530</v>
      </c>
      <c r="D233" s="916"/>
      <c r="E233" s="916"/>
      <c r="F233" s="916"/>
      <c r="G233" s="994"/>
      <c r="H233" s="939"/>
      <c r="I233" s="1367" t="str">
        <f>IF(AND(B81="Final Child Support Obligation Payable By Father:",NOT(ISBLANK(T12))),F12,IF(AND(B81="Final Child Support Obligation Payable By Mother:",NOT(ISBLANK(T12))),F14,IF(AND(B81="Final Child Support Obligation Payable By Father:",ISBLANK(T12)),F14,IF(AND(B81="Final Child Support Obligation Payable By Mother:",ISBLANK(T12)),F12,""))))</f>
        <v/>
      </c>
      <c r="J233" s="1368"/>
      <c r="K233" s="1368"/>
      <c r="L233" s="1368"/>
      <c r="M233" s="1368"/>
      <c r="N233" s="1368"/>
      <c r="O233" s="1368"/>
      <c r="P233" s="1368"/>
      <c r="Q233" s="1369"/>
      <c r="R233" s="438"/>
      <c r="S233" s="438"/>
      <c r="T233" s="438"/>
      <c r="U233" s="438"/>
      <c r="V233" s="438"/>
      <c r="W233" s="438"/>
      <c r="X233" s="438"/>
      <c r="Y233" s="438"/>
      <c r="Z233" s="438"/>
      <c r="AA233" s="421"/>
      <c r="AI233" s="346"/>
    </row>
    <row r="234" spans="1:35" ht="15" customHeight="1">
      <c r="A234" s="346"/>
      <c r="B234" s="243"/>
      <c r="C234" s="688"/>
      <c r="D234" s="915" t="s">
        <v>538</v>
      </c>
      <c r="E234" s="916"/>
      <c r="F234" s="916"/>
      <c r="G234" s="916"/>
      <c r="H234" s="939"/>
      <c r="I234" s="1394"/>
      <c r="J234" s="1395"/>
      <c r="K234" s="1395"/>
      <c r="L234" s="1395"/>
      <c r="M234" s="1395"/>
      <c r="N234" s="1395"/>
      <c r="O234" s="1395"/>
      <c r="P234" s="1395"/>
      <c r="Q234" s="1396"/>
      <c r="R234" s="438"/>
      <c r="S234" s="438"/>
      <c r="T234" s="438"/>
      <c r="U234" s="438"/>
      <c r="V234" s="438"/>
      <c r="W234" s="438"/>
      <c r="X234" s="438"/>
      <c r="Y234" s="438"/>
      <c r="Z234" s="438"/>
      <c r="AA234" s="421"/>
      <c r="AI234" s="346"/>
    </row>
    <row r="235" spans="1:35" ht="15" customHeight="1">
      <c r="A235" s="346"/>
      <c r="B235" s="243"/>
      <c r="D235" s="915" t="s">
        <v>531</v>
      </c>
      <c r="E235" s="916"/>
      <c r="F235" s="916"/>
      <c r="G235" s="916"/>
      <c r="H235" s="939"/>
      <c r="I235" s="1370"/>
      <c r="J235" s="1371"/>
      <c r="K235" s="1371"/>
      <c r="L235" s="1371"/>
      <c r="M235" s="1371"/>
      <c r="N235" s="1371"/>
      <c r="O235" s="1371"/>
      <c r="P235" s="1371"/>
      <c r="Q235" s="1372"/>
      <c r="R235" s="438"/>
      <c r="S235" s="438"/>
      <c r="T235" s="438"/>
      <c r="U235" s="438"/>
      <c r="V235" s="438"/>
      <c r="W235" s="438"/>
      <c r="X235" s="438"/>
      <c r="Y235" s="438"/>
      <c r="Z235" s="438"/>
      <c r="AA235" s="421"/>
      <c r="AI235" s="346"/>
    </row>
    <row r="236" spans="1:35" ht="15" customHeight="1">
      <c r="A236" s="346"/>
      <c r="B236" s="243"/>
      <c r="C236" s="943" t="s">
        <v>552</v>
      </c>
      <c r="D236" s="903"/>
      <c r="E236" s="903"/>
      <c r="F236" s="903"/>
      <c r="G236" s="903"/>
      <c r="H236" s="903"/>
      <c r="I236" s="903"/>
      <c r="J236" s="903"/>
      <c r="K236" s="903"/>
      <c r="L236" s="903"/>
      <c r="M236" s="733"/>
      <c r="N236" s="732"/>
      <c r="O236" s="732"/>
      <c r="P236" s="732"/>
      <c r="Q236" s="732"/>
      <c r="R236" s="438"/>
      <c r="S236" s="438"/>
      <c r="T236" s="438"/>
      <c r="U236" s="438"/>
      <c r="V236" s="438"/>
      <c r="W236" s="438"/>
      <c r="X236" s="438"/>
      <c r="Y236" s="438"/>
      <c r="Z236" s="438"/>
      <c r="AA236" s="421"/>
      <c r="AI236" s="346"/>
    </row>
    <row r="237" spans="1:35">
      <c r="A237" s="346"/>
      <c r="B237" s="243"/>
      <c r="C237" s="237"/>
      <c r="D237" s="439"/>
      <c r="E237" s="439"/>
      <c r="F237" s="438"/>
      <c r="G237" s="716"/>
      <c r="H237" s="346"/>
      <c r="I237" s="346"/>
      <c r="J237" s="346"/>
      <c r="K237" s="346"/>
      <c r="L237" s="346"/>
      <c r="M237" s="346"/>
      <c r="N237" s="346"/>
      <c r="O237" s="346"/>
      <c r="P237" s="346"/>
      <c r="Q237" s="438"/>
      <c r="R237" s="438"/>
      <c r="S237" s="438"/>
      <c r="T237" s="438"/>
      <c r="U237" s="438"/>
      <c r="V237" s="438"/>
      <c r="W237" s="438"/>
      <c r="X237" s="438"/>
      <c r="Y237" s="438"/>
      <c r="Z237" s="438"/>
      <c r="AA237" s="421"/>
      <c r="AI237" s="346"/>
    </row>
    <row r="238" spans="1:35" ht="15" customHeight="1">
      <c r="A238" s="346"/>
      <c r="B238" s="243"/>
      <c r="C238" s="915" t="s">
        <v>539</v>
      </c>
      <c r="D238" s="916"/>
      <c r="E238" s="916"/>
      <c r="F238" s="916"/>
      <c r="G238" s="994"/>
      <c r="H238" s="939"/>
      <c r="I238" s="1367" t="str">
        <f>IF(AND(B81="Final Child Support Obligation Payable By Father:",NOT(ISBLANK(T12))),F14,IF(AND(B81="Final Child Support Obligation Payable By Mother:",NOT(ISBLANK(T12))),F12,IF(AND(B81="Final Child Support Obligation Payable By Father:",ISBLANK(T12)),F12,IF(AND(B81="Final Child Support Obligation Payable By Mother:",ISBLANK(T12)),F14,""))))</f>
        <v/>
      </c>
      <c r="J238" s="1368"/>
      <c r="K238" s="1368"/>
      <c r="L238" s="1368"/>
      <c r="M238" s="1368"/>
      <c r="N238" s="1368"/>
      <c r="O238" s="1368"/>
      <c r="P238" s="1368"/>
      <c r="Q238" s="1369"/>
      <c r="R238" s="438"/>
      <c r="S238" s="438"/>
      <c r="T238" s="438"/>
      <c r="U238" s="438"/>
      <c r="V238" s="438"/>
      <c r="W238" s="438"/>
      <c r="X238" s="438"/>
      <c r="Y238" s="438"/>
      <c r="Z238" s="438"/>
      <c r="AA238" s="421"/>
      <c r="AI238" s="346"/>
    </row>
    <row r="239" spans="1:35" ht="15" customHeight="1">
      <c r="A239" s="346"/>
      <c r="B239" s="243"/>
      <c r="D239" s="915" t="s">
        <v>538</v>
      </c>
      <c r="E239" s="916"/>
      <c r="F239" s="916"/>
      <c r="G239" s="916"/>
      <c r="H239" s="939"/>
      <c r="I239" s="1394"/>
      <c r="J239" s="1395"/>
      <c r="K239" s="1395"/>
      <c r="L239" s="1395"/>
      <c r="M239" s="1395"/>
      <c r="N239" s="1395"/>
      <c r="O239" s="1395"/>
      <c r="P239" s="1395"/>
      <c r="Q239" s="1396"/>
      <c r="R239" s="438"/>
      <c r="S239" s="438"/>
      <c r="T239" s="438"/>
      <c r="U239" s="438"/>
      <c r="V239" s="438"/>
      <c r="W239" s="438"/>
      <c r="X239" s="438"/>
      <c r="Y239" s="438"/>
      <c r="Z239" s="438"/>
      <c r="AA239" s="421"/>
      <c r="AI239" s="346"/>
    </row>
    <row r="240" spans="1:35">
      <c r="A240" s="346"/>
      <c r="B240" s="243"/>
      <c r="C240" s="237"/>
      <c r="D240" s="439"/>
      <c r="E240" s="439"/>
      <c r="F240" s="438"/>
      <c r="G240" s="716"/>
      <c r="H240" s="346"/>
      <c r="I240" s="346"/>
      <c r="J240" s="346"/>
      <c r="K240" s="346"/>
      <c r="L240" s="346"/>
      <c r="M240" s="346"/>
      <c r="N240" s="346"/>
      <c r="O240" s="346"/>
      <c r="P240" s="346"/>
      <c r="Q240" s="438"/>
      <c r="R240" s="438"/>
      <c r="S240" s="438"/>
      <c r="T240" s="438"/>
      <c r="U240" s="438"/>
      <c r="V240" s="438"/>
      <c r="W240" s="438"/>
      <c r="X240" s="438"/>
      <c r="Y240" s="438"/>
      <c r="Z240" s="438"/>
      <c r="AA240" s="421"/>
      <c r="AI240" s="346"/>
    </row>
    <row r="241" spans="1:35">
      <c r="A241" s="346"/>
      <c r="B241" s="243"/>
      <c r="C241" s="915" t="s">
        <v>533</v>
      </c>
      <c r="D241" s="916"/>
      <c r="E241" s="916"/>
      <c r="F241" s="916"/>
      <c r="G241" s="916"/>
      <c r="H241" s="916"/>
      <c r="I241" s="346"/>
      <c r="J241" s="346"/>
      <c r="K241" s="346"/>
      <c r="L241" s="346"/>
      <c r="M241" s="346"/>
      <c r="N241" s="346"/>
      <c r="O241" s="346"/>
      <c r="P241" s="346"/>
      <c r="Q241" s="438"/>
      <c r="R241" s="438"/>
      <c r="S241" s="438"/>
      <c r="T241" s="438"/>
      <c r="U241" s="438"/>
      <c r="V241" s="438"/>
      <c r="W241" s="438"/>
      <c r="X241" s="438"/>
      <c r="Y241" s="438"/>
      <c r="Z241" s="438"/>
      <c r="AA241" s="421"/>
      <c r="AI241" s="346"/>
    </row>
    <row r="242" spans="1:35" ht="15" customHeight="1">
      <c r="A242" s="346"/>
      <c r="B242" s="692"/>
      <c r="C242" s="695"/>
      <c r="D242" s="1393" t="s">
        <v>532</v>
      </c>
      <c r="E242" s="945"/>
      <c r="F242" s="945"/>
      <c r="G242" s="993"/>
      <c r="H242" s="939"/>
      <c r="I242" s="1373"/>
      <c r="J242" s="1371"/>
      <c r="K242" s="1371"/>
      <c r="L242" s="1371"/>
      <c r="M242" s="1371"/>
      <c r="N242" s="1371"/>
      <c r="O242" s="1371"/>
      <c r="P242" s="1371"/>
      <c r="Q242" s="1372"/>
      <c r="R242" s="438"/>
      <c r="S242" s="438"/>
      <c r="T242" s="438"/>
      <c r="U242" s="438"/>
      <c r="V242" s="438"/>
      <c r="W242" s="438"/>
      <c r="X242" s="438"/>
      <c r="Y242" s="438"/>
      <c r="Z242" s="438"/>
      <c r="AA242" s="421"/>
      <c r="AI242" s="346"/>
    </row>
    <row r="243" spans="1:35" ht="23.25" customHeight="1">
      <c r="A243" s="346"/>
      <c r="B243" s="714"/>
      <c r="C243" s="1118" t="s">
        <v>55</v>
      </c>
      <c r="D243" s="929"/>
      <c r="E243" s="929"/>
      <c r="F243" s="929"/>
      <c r="G243" s="929"/>
      <c r="H243" s="929"/>
      <c r="I243" s="929"/>
      <c r="J243" s="929"/>
      <c r="K243" s="929"/>
      <c r="L243" s="929"/>
      <c r="M243" s="929"/>
      <c r="N243" s="929"/>
      <c r="O243" s="929"/>
      <c r="P243" s="929"/>
      <c r="Q243" s="929"/>
      <c r="R243" s="929"/>
      <c r="S243" s="592"/>
      <c r="T243" s="592"/>
      <c r="U243" s="592"/>
      <c r="V243" s="592"/>
      <c r="W243" s="592"/>
      <c r="X243" s="592"/>
      <c r="Y243" s="438"/>
      <c r="Z243" s="438"/>
      <c r="AA243" s="421"/>
      <c r="AI243" s="346"/>
    </row>
    <row r="244" spans="1:35" ht="15" customHeight="1">
      <c r="A244" s="346"/>
      <c r="B244" s="878" t="s">
        <v>370</v>
      </c>
      <c r="C244" s="879"/>
      <c r="D244" s="879"/>
      <c r="E244" s="879"/>
      <c r="F244" s="879"/>
      <c r="G244" s="879"/>
      <c r="H244" s="879"/>
      <c r="I244" s="880"/>
      <c r="J244" s="1374" t="str">
        <f ca="1">IF(NOT(ISBLANK(D34)),D34,IF(Worksheet!V43="Calculate","",Worksheet!V43))</f>
        <v/>
      </c>
      <c r="K244" s="1375"/>
      <c r="L244" s="1375"/>
      <c r="M244" s="1375"/>
      <c r="N244" s="1375"/>
      <c r="O244" s="1376" t="str">
        <f ca="1">IF(NOT(ISBLANK(G34)),G34,Worksheet!Z43)</f>
        <v/>
      </c>
      <c r="P244" s="1377"/>
      <c r="Q244" s="592"/>
      <c r="R244" s="592"/>
      <c r="S244" s="592"/>
      <c r="T244" s="592"/>
      <c r="U244" s="1354"/>
      <c r="V244" s="1355"/>
      <c r="W244" s="1355"/>
      <c r="X244" s="1355"/>
      <c r="Y244" s="1355"/>
      <c r="Z244" s="1355"/>
      <c r="AA244" s="1356"/>
      <c r="AI244" s="641"/>
    </row>
    <row r="245" spans="1:35" ht="15" customHeight="1">
      <c r="A245" s="346"/>
      <c r="B245" s="878" t="s">
        <v>371</v>
      </c>
      <c r="C245" s="879"/>
      <c r="D245" s="879"/>
      <c r="E245" s="879"/>
      <c r="F245" s="879"/>
      <c r="G245" s="879"/>
      <c r="H245" s="879"/>
      <c r="I245" s="880"/>
      <c r="J245" s="1359"/>
      <c r="K245" s="1360"/>
      <c r="L245" s="1360"/>
      <c r="M245" s="1360"/>
      <c r="N245" s="1361"/>
      <c r="O245" s="1362"/>
      <c r="P245" s="1363"/>
      <c r="Q245" s="592"/>
      <c r="R245" s="592"/>
      <c r="S245" s="592"/>
      <c r="T245" s="592"/>
      <c r="U245" s="1357"/>
      <c r="V245" s="1357"/>
      <c r="W245" s="1357"/>
      <c r="X245" s="1357"/>
      <c r="Y245" s="1358"/>
      <c r="Z245" s="1358"/>
      <c r="AA245" s="421"/>
      <c r="AI245" s="640"/>
    </row>
    <row r="246" spans="1:35" ht="15" customHeight="1">
      <c r="A246" s="346"/>
      <c r="B246" s="689"/>
      <c r="C246" s="717"/>
      <c r="D246" s="717"/>
      <c r="E246" s="717"/>
      <c r="F246" s="717"/>
      <c r="G246" s="717"/>
      <c r="H246" s="717"/>
      <c r="I246" s="696"/>
      <c r="J246" s="718"/>
      <c r="K246" s="719"/>
      <c r="L246" s="719"/>
      <c r="M246" s="719"/>
      <c r="N246" s="719"/>
      <c r="O246" s="720"/>
      <c r="P246" s="720"/>
      <c r="Q246" s="592"/>
      <c r="R246" s="592"/>
      <c r="S246" s="592"/>
      <c r="T246" s="592"/>
      <c r="U246" s="690"/>
      <c r="V246" s="690"/>
      <c r="W246" s="690"/>
      <c r="X246" s="690"/>
      <c r="Y246" s="691"/>
      <c r="Z246" s="691"/>
      <c r="AA246" s="421"/>
      <c r="AI246" s="640"/>
    </row>
    <row r="247" spans="1:35" ht="15" customHeight="1">
      <c r="A247" s="346"/>
      <c r="B247" s="689"/>
      <c r="C247" s="927" t="s">
        <v>534</v>
      </c>
      <c r="D247" s="927"/>
      <c r="E247" s="927"/>
      <c r="F247" s="927"/>
      <c r="G247" s="927"/>
      <c r="H247" s="927"/>
      <c r="I247" s="927"/>
      <c r="J247" s="927"/>
      <c r="K247" s="927"/>
      <c r="L247" s="927"/>
      <c r="M247" s="927"/>
      <c r="N247" s="927"/>
      <c r="O247" s="927"/>
      <c r="P247" s="927"/>
      <c r="Q247" s="734"/>
      <c r="R247" s="928" t="s">
        <v>535</v>
      </c>
      <c r="S247" s="929"/>
      <c r="T247" s="734"/>
      <c r="U247" s="928" t="s">
        <v>536</v>
      </c>
      <c r="V247" s="929"/>
      <c r="W247" s="690"/>
      <c r="X247" s="690"/>
      <c r="Y247" s="691"/>
      <c r="Z247" s="691"/>
      <c r="AA247" s="421"/>
      <c r="AI247" s="640"/>
    </row>
    <row r="248" spans="1:35" ht="15" customHeight="1">
      <c r="A248" s="346"/>
      <c r="B248" s="689"/>
      <c r="C248" s="722"/>
      <c r="D248" s="722"/>
      <c r="E248" s="722"/>
      <c r="F248" s="722"/>
      <c r="G248" s="722"/>
      <c r="H248" s="722"/>
      <c r="I248" s="722"/>
      <c r="J248" s="722"/>
      <c r="K248" s="722"/>
      <c r="L248" s="722"/>
      <c r="M248" s="722"/>
      <c r="N248" s="722"/>
      <c r="O248" s="722"/>
      <c r="P248" s="722"/>
      <c r="Q248" s="757"/>
      <c r="R248" s="715"/>
      <c r="S248" s="37"/>
      <c r="T248" s="757"/>
      <c r="U248" s="715"/>
      <c r="V248" s="694"/>
      <c r="W248" s="690"/>
      <c r="X248" s="690"/>
      <c r="Y248" s="691"/>
      <c r="Z248" s="691"/>
      <c r="AA248" s="421"/>
      <c r="AI248" s="640"/>
    </row>
    <row r="249" spans="1:35" ht="15" customHeight="1">
      <c r="A249" s="346"/>
      <c r="B249" s="689"/>
      <c r="C249" s="927" t="s">
        <v>544</v>
      </c>
      <c r="D249" s="927"/>
      <c r="E249" s="927"/>
      <c r="F249" s="927"/>
      <c r="G249" s="927"/>
      <c r="H249" s="927"/>
      <c r="I249" s="927"/>
      <c r="J249" s="1387"/>
      <c r="K249" s="1388"/>
      <c r="L249" s="1388"/>
      <c r="M249" s="1388"/>
      <c r="N249" s="1388"/>
      <c r="O249" s="1388"/>
      <c r="P249" s="1388"/>
      <c r="Q249" s="1388"/>
      <c r="R249" s="1388"/>
      <c r="S249" s="1388"/>
      <c r="T249" s="1389"/>
      <c r="U249" s="715"/>
      <c r="V249" s="723"/>
      <c r="W249" s="690"/>
      <c r="X249" s="690"/>
      <c r="Y249" s="691"/>
      <c r="Z249" s="691"/>
      <c r="AA249" s="421"/>
      <c r="AI249" s="640"/>
    </row>
    <row r="250" spans="1:35" ht="15" customHeight="1">
      <c r="A250" s="346"/>
      <c r="B250" s="689"/>
      <c r="C250" s="927" t="s">
        <v>465</v>
      </c>
      <c r="D250" s="927"/>
      <c r="E250" s="927"/>
      <c r="F250" s="927"/>
      <c r="G250" s="927"/>
      <c r="H250" s="927"/>
      <c r="I250" s="927"/>
      <c r="J250" s="1390"/>
      <c r="K250" s="1391"/>
      <c r="L250" s="1391"/>
      <c r="M250" s="1391"/>
      <c r="N250" s="1391"/>
      <c r="O250" s="1391"/>
      <c r="P250" s="1391"/>
      <c r="Q250" s="1391"/>
      <c r="R250" s="1391"/>
      <c r="S250" s="1391"/>
      <c r="T250" s="1392"/>
      <c r="U250" s="715"/>
      <c r="V250" s="723"/>
      <c r="W250" s="690"/>
      <c r="X250" s="690"/>
      <c r="Y250" s="691"/>
      <c r="Z250" s="691"/>
      <c r="AA250" s="421"/>
      <c r="AI250" s="640"/>
    </row>
    <row r="251" spans="1:35" ht="15" customHeight="1">
      <c r="A251" s="346"/>
      <c r="B251" s="689"/>
      <c r="C251" s="722"/>
      <c r="D251" s="722"/>
      <c r="E251" s="722"/>
      <c r="F251" s="722"/>
      <c r="G251" s="722"/>
      <c r="H251" s="722"/>
      <c r="I251" s="722"/>
      <c r="J251" s="554"/>
      <c r="K251" s="693"/>
      <c r="L251" s="693"/>
      <c r="M251" s="693"/>
      <c r="N251" s="693"/>
      <c r="O251" s="693"/>
      <c r="P251" s="693"/>
      <c r="Q251" s="693"/>
      <c r="R251" s="693"/>
      <c r="S251" s="693"/>
      <c r="T251" s="693"/>
      <c r="U251" s="715"/>
      <c r="V251" s="723"/>
      <c r="W251" s="690"/>
      <c r="X251" s="690"/>
      <c r="Y251" s="691"/>
      <c r="Z251" s="691"/>
      <c r="AA251" s="421"/>
      <c r="AI251" s="640"/>
    </row>
    <row r="252" spans="1:35" ht="39.75" customHeight="1">
      <c r="A252" s="346"/>
      <c r="B252" s="689"/>
      <c r="C252" s="921" t="s">
        <v>553</v>
      </c>
      <c r="D252" s="921"/>
      <c r="E252" s="921"/>
      <c r="F252" s="921"/>
      <c r="G252" s="921"/>
      <c r="H252" s="922"/>
      <c r="I252" s="918"/>
      <c r="J252" s="919"/>
      <c r="K252" s="919"/>
      <c r="L252" s="919"/>
      <c r="M252" s="919"/>
      <c r="N252" s="919"/>
      <c r="O252" s="919"/>
      <c r="P252" s="919"/>
      <c r="Q252" s="919"/>
      <c r="R252" s="919"/>
      <c r="S252" s="919"/>
      <c r="T252" s="919"/>
      <c r="U252" s="919"/>
      <c r="V252" s="919"/>
      <c r="W252" s="919"/>
      <c r="X252" s="919"/>
      <c r="Y252" s="919"/>
      <c r="Z252" s="920"/>
      <c r="AA252" s="421"/>
      <c r="AI252" s="640"/>
    </row>
    <row r="253" spans="1:35" ht="15" customHeight="1">
      <c r="A253" s="346"/>
      <c r="B253" s="689"/>
      <c r="C253" s="722"/>
      <c r="D253" s="722"/>
      <c r="E253" s="722"/>
      <c r="F253" s="722"/>
      <c r="G253" s="722"/>
      <c r="H253" s="722"/>
      <c r="I253" s="923"/>
      <c r="J253" s="923"/>
      <c r="K253" s="923"/>
      <c r="L253" s="923"/>
      <c r="M253" s="923"/>
      <c r="N253" s="923"/>
      <c r="O253" s="923"/>
      <c r="P253" s="923"/>
      <c r="Q253" s="923"/>
      <c r="R253" s="923"/>
      <c r="S253" s="923"/>
      <c r="T253" s="923"/>
      <c r="U253" s="923"/>
      <c r="V253" s="923"/>
      <c r="W253" s="923"/>
      <c r="X253" s="923"/>
      <c r="Y253" s="923"/>
      <c r="Z253" s="923"/>
      <c r="AA253" s="421"/>
      <c r="AI253" s="640"/>
    </row>
    <row r="254" spans="1:35" ht="39" customHeight="1">
      <c r="A254" s="346"/>
      <c r="B254" s="706"/>
      <c r="C254" s="921" t="s">
        <v>554</v>
      </c>
      <c r="D254" s="921"/>
      <c r="E254" s="921"/>
      <c r="F254" s="921"/>
      <c r="G254" s="921"/>
      <c r="H254" s="922"/>
      <c r="I254" s="918"/>
      <c r="J254" s="919"/>
      <c r="K254" s="919"/>
      <c r="L254" s="919"/>
      <c r="M254" s="919"/>
      <c r="N254" s="919"/>
      <c r="O254" s="919"/>
      <c r="P254" s="919"/>
      <c r="Q254" s="919"/>
      <c r="R254" s="919"/>
      <c r="S254" s="919"/>
      <c r="T254" s="919"/>
      <c r="U254" s="919"/>
      <c r="V254" s="919"/>
      <c r="W254" s="919"/>
      <c r="X254" s="919"/>
      <c r="Y254" s="919"/>
      <c r="Z254" s="920"/>
      <c r="AA254" s="421"/>
      <c r="AI254" s="640"/>
    </row>
    <row r="255" spans="1:35" ht="15" customHeight="1">
      <c r="A255" s="346"/>
      <c r="B255" s="706"/>
      <c r="C255" s="722"/>
      <c r="D255" s="722"/>
      <c r="E255" s="722"/>
      <c r="F255" s="722"/>
      <c r="G255" s="722"/>
      <c r="H255" s="722"/>
      <c r="I255" s="923"/>
      <c r="J255" s="923"/>
      <c r="K255" s="923"/>
      <c r="L255" s="923"/>
      <c r="M255" s="923"/>
      <c r="N255" s="923"/>
      <c r="O255" s="923"/>
      <c r="P255" s="923"/>
      <c r="Q255" s="923"/>
      <c r="R255" s="923"/>
      <c r="S255" s="923"/>
      <c r="T255" s="923"/>
      <c r="U255" s="923"/>
      <c r="V255" s="923"/>
      <c r="W255" s="923"/>
      <c r="X255" s="923"/>
      <c r="Y255" s="923"/>
      <c r="Z255" s="923"/>
      <c r="AA255" s="421"/>
      <c r="AI255" s="640"/>
    </row>
    <row r="256" spans="1:35" ht="53.25" customHeight="1">
      <c r="A256" s="346"/>
      <c r="B256" s="689"/>
      <c r="C256" s="921" t="s">
        <v>545</v>
      </c>
      <c r="D256" s="921"/>
      <c r="E256" s="921"/>
      <c r="F256" s="921"/>
      <c r="G256" s="921"/>
      <c r="H256" s="922"/>
      <c r="I256" s="918"/>
      <c r="J256" s="919"/>
      <c r="K256" s="919"/>
      <c r="L256" s="919"/>
      <c r="M256" s="919"/>
      <c r="N256" s="919"/>
      <c r="O256" s="919"/>
      <c r="P256" s="919"/>
      <c r="Q256" s="919"/>
      <c r="R256" s="919"/>
      <c r="S256" s="919"/>
      <c r="T256" s="919"/>
      <c r="U256" s="919"/>
      <c r="V256" s="919"/>
      <c r="W256" s="919"/>
      <c r="X256" s="919"/>
      <c r="Y256" s="919"/>
      <c r="Z256" s="920"/>
      <c r="AA256" s="421"/>
      <c r="AI256" s="640"/>
    </row>
    <row r="257" spans="1:35">
      <c r="A257" s="346"/>
      <c r="B257" s="245"/>
      <c r="C257" s="94"/>
      <c r="D257" s="94"/>
      <c r="E257" s="94"/>
      <c r="F257" s="94"/>
      <c r="G257" s="260"/>
      <c r="H257" s="94"/>
      <c r="I257" s="94"/>
      <c r="J257" s="94"/>
      <c r="K257" s="94"/>
      <c r="L257" s="94"/>
      <c r="M257" s="94"/>
      <c r="N257" s="94"/>
      <c r="O257" s="94"/>
      <c r="P257" s="1386" t="str">
        <f>IF(AND(NOT(ISBLANK(Q247)),NOT(ISBLANK(T247))),"Error-Can't Check Both","")</f>
        <v/>
      </c>
      <c r="Q257" s="1386"/>
      <c r="R257" s="1386"/>
      <c r="S257" s="1386"/>
      <c r="T257" s="1386"/>
      <c r="U257" s="1386"/>
      <c r="V257" s="1386"/>
      <c r="W257" s="94"/>
      <c r="X257" s="94"/>
      <c r="Y257" s="94"/>
      <c r="Z257" s="94"/>
      <c r="AA257" s="246"/>
      <c r="AI257" s="346"/>
    </row>
    <row r="258" spans="1:35">
      <c r="A258" s="346"/>
      <c r="B258" s="681" t="s">
        <v>429</v>
      </c>
      <c r="C258" s="681"/>
      <c r="D258" s="681"/>
      <c r="E258" s="681"/>
      <c r="F258" s="681"/>
      <c r="G258" s="678"/>
      <c r="H258" s="677"/>
      <c r="I258" s="677"/>
      <c r="J258" s="677"/>
      <c r="K258" s="677"/>
      <c r="L258" s="677"/>
      <c r="M258" s="677"/>
      <c r="N258" s="237"/>
      <c r="O258" s="237"/>
      <c r="P258" s="237"/>
      <c r="Q258" s="237"/>
      <c r="R258" s="237"/>
      <c r="S258" s="237"/>
      <c r="T258" s="237"/>
      <c r="U258" s="237"/>
      <c r="V258" s="237"/>
      <c r="W258" s="237"/>
      <c r="X258" s="237"/>
      <c r="Y258" s="237"/>
      <c r="Z258" s="237"/>
      <c r="AA258" s="237"/>
      <c r="AI258" s="346"/>
    </row>
    <row r="259" spans="1:35" ht="12.75" customHeight="1">
      <c r="A259" s="346"/>
      <c r="B259" s="682" t="s">
        <v>679</v>
      </c>
      <c r="C259" s="682"/>
      <c r="D259" s="682"/>
      <c r="E259" s="682"/>
      <c r="F259" s="682"/>
      <c r="G259" s="680"/>
      <c r="H259" s="679"/>
      <c r="I259" s="679"/>
      <c r="J259" s="679"/>
      <c r="K259" s="679"/>
      <c r="L259" s="679"/>
      <c r="M259" s="679"/>
      <c r="N259" s="438"/>
      <c r="O259" s="438"/>
      <c r="P259" s="438"/>
      <c r="Q259" s="438"/>
      <c r="R259" s="438"/>
      <c r="S259" s="438"/>
      <c r="T259" s="438"/>
      <c r="U259" s="438"/>
      <c r="V259" s="438"/>
      <c r="W259" s="438"/>
      <c r="X259" s="438"/>
      <c r="Y259" s="438"/>
      <c r="Z259" s="438"/>
      <c r="AA259" s="438"/>
      <c r="AB259" s="346"/>
      <c r="AC259" s="346"/>
      <c r="AD259" s="346"/>
      <c r="AE259" s="346"/>
      <c r="AF259" s="346"/>
      <c r="AG259" s="346"/>
      <c r="AH259" s="346"/>
      <c r="AI259" s="346"/>
    </row>
    <row r="260" spans="1:35">
      <c r="A260" s="346"/>
      <c r="B260" s="679"/>
      <c r="C260" s="679"/>
      <c r="D260" s="679"/>
      <c r="E260" s="679"/>
      <c r="F260" s="679"/>
      <c r="G260" s="680"/>
      <c r="H260" s="679"/>
      <c r="I260" s="679"/>
      <c r="J260" s="679"/>
      <c r="K260" s="679"/>
      <c r="L260" s="679"/>
      <c r="M260" s="679"/>
      <c r="N260" s="438"/>
      <c r="O260" s="438"/>
      <c r="P260" s="438"/>
      <c r="Q260" s="438"/>
      <c r="R260" s="438"/>
      <c r="S260" s="438"/>
      <c r="T260" s="438"/>
      <c r="U260" s="438"/>
      <c r="V260" s="438"/>
      <c r="W260" s="438"/>
      <c r="X260" s="438"/>
      <c r="Y260" s="438"/>
      <c r="Z260" s="438"/>
      <c r="AA260" s="438"/>
      <c r="AB260" s="346"/>
      <c r="AC260" s="346"/>
      <c r="AD260" s="346"/>
      <c r="AE260" s="346"/>
      <c r="AF260" s="346"/>
      <c r="AG260" s="346"/>
      <c r="AH260" s="346"/>
      <c r="AI260" s="346"/>
    </row>
    <row r="261" spans="1:35" ht="367.5" customHeight="1">
      <c r="A261" s="346"/>
      <c r="B261" s="346"/>
      <c r="C261" s="346"/>
      <c r="D261" s="346"/>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c r="AG261" s="346"/>
      <c r="AH261" s="346"/>
      <c r="AI261" s="346"/>
    </row>
    <row r="262" spans="1:35">
      <c r="A262" s="346"/>
      <c r="B262" s="346"/>
      <c r="C262" s="346"/>
      <c r="D262" s="346"/>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row>
    <row r="263" spans="1:35">
      <c r="A263" s="20"/>
      <c r="Y263" s="20"/>
      <c r="Z263" s="20"/>
      <c r="AA263" s="20"/>
    </row>
    <row r="264" spans="1:35">
      <c r="A264" s="20"/>
      <c r="Y264" s="20"/>
      <c r="Z264" s="20"/>
      <c r="AA264" s="20"/>
    </row>
    <row r="265" spans="1:35">
      <c r="A265" s="20"/>
      <c r="Y265" s="20"/>
      <c r="Z265" s="20"/>
      <c r="AA265" s="20"/>
    </row>
    <row r="266" spans="1:35">
      <c r="A266" s="20"/>
      <c r="Y266" s="20"/>
      <c r="Z266" s="20"/>
      <c r="AA266" s="20"/>
    </row>
    <row r="267" spans="1:35">
      <c r="A267" s="20"/>
      <c r="Y267" s="20"/>
      <c r="Z267" s="20"/>
      <c r="AA267" s="20"/>
    </row>
    <row r="268" spans="1:35">
      <c r="A268" s="20"/>
      <c r="Y268" s="20"/>
      <c r="Z268" s="20"/>
      <c r="AA268" s="20"/>
    </row>
    <row r="269" spans="1:35">
      <c r="A269" s="20"/>
      <c r="Y269" s="20"/>
      <c r="Z269" s="20"/>
      <c r="AA269" s="20"/>
    </row>
    <row r="270" spans="1:35">
      <c r="A270" s="20"/>
      <c r="Y270" s="20"/>
      <c r="Z270" s="20"/>
      <c r="AA270" s="20"/>
    </row>
    <row r="271" spans="1:35">
      <c r="A271" s="20"/>
      <c r="Y271" s="20"/>
      <c r="Z271" s="20"/>
      <c r="AA271" s="20"/>
    </row>
    <row r="272" spans="1:35">
      <c r="A272" s="20"/>
      <c r="Y272" s="20"/>
      <c r="Z272" s="20"/>
      <c r="AA272" s="20"/>
    </row>
  </sheetData>
  <sheetProtection password="CA2C" sheet="1" objects="1" scenarios="1" selectLockedCells="1"/>
  <mergeCells count="541">
    <mergeCell ref="I210:S210"/>
    <mergeCell ref="I209:S209"/>
    <mergeCell ref="H219:Q219"/>
    <mergeCell ref="R219:T219"/>
    <mergeCell ref="U219:Y219"/>
    <mergeCell ref="P257:V257"/>
    <mergeCell ref="C250:I250"/>
    <mergeCell ref="C249:I249"/>
    <mergeCell ref="J249:T249"/>
    <mergeCell ref="J250:T250"/>
    <mergeCell ref="C256:H256"/>
    <mergeCell ref="U247:V247"/>
    <mergeCell ref="C233:H233"/>
    <mergeCell ref="D235:H235"/>
    <mergeCell ref="D242:H242"/>
    <mergeCell ref="C241:H241"/>
    <mergeCell ref="I234:Q234"/>
    <mergeCell ref="C238:H238"/>
    <mergeCell ref="D234:H234"/>
    <mergeCell ref="D239:H239"/>
    <mergeCell ref="I238:Q238"/>
    <mergeCell ref="I239:Q239"/>
    <mergeCell ref="C231:H231"/>
    <mergeCell ref="I231:R231"/>
    <mergeCell ref="AI33:AI42"/>
    <mergeCell ref="U244:AA244"/>
    <mergeCell ref="U245:Z245"/>
    <mergeCell ref="J245:N245"/>
    <mergeCell ref="O245:P245"/>
    <mergeCell ref="B187:H187"/>
    <mergeCell ref="B194:I194"/>
    <mergeCell ref="H207:K207"/>
    <mergeCell ref="I233:Q233"/>
    <mergeCell ref="I235:Q235"/>
    <mergeCell ref="I242:Q242"/>
    <mergeCell ref="J244:N244"/>
    <mergeCell ref="O244:P244"/>
    <mergeCell ref="B215:AA215"/>
    <mergeCell ref="J187:P187"/>
    <mergeCell ref="B214:AA214"/>
    <mergeCell ref="B204:AA204"/>
    <mergeCell ref="T209:Z209"/>
    <mergeCell ref="X163:Z163"/>
    <mergeCell ref="X160:Z160"/>
    <mergeCell ref="C243:R243"/>
    <mergeCell ref="U165:W165"/>
    <mergeCell ref="E165:H165"/>
    <mergeCell ref="U162:W162"/>
    <mergeCell ref="E164:H164"/>
    <mergeCell ref="U164:W164"/>
    <mergeCell ref="I36:K36"/>
    <mergeCell ref="B26:L26"/>
    <mergeCell ref="B39:K39"/>
    <mergeCell ref="B37:K37"/>
    <mergeCell ref="N40:O41"/>
    <mergeCell ref="P40:Q40"/>
    <mergeCell ref="B42:H42"/>
    <mergeCell ref="R39:S39"/>
    <mergeCell ref="P39:Q39"/>
    <mergeCell ref="B36:H36"/>
    <mergeCell ref="B33:Q33"/>
    <mergeCell ref="R32:Z33"/>
    <mergeCell ref="B27:AA27"/>
    <mergeCell ref="B29:AA29"/>
    <mergeCell ref="B28:M28"/>
    <mergeCell ref="I42:K42"/>
    <mergeCell ref="N42:S42"/>
    <mergeCell ref="X41:Y41"/>
    <mergeCell ref="B30:AA30"/>
    <mergeCell ref="E163:H163"/>
    <mergeCell ref="L160:N160"/>
    <mergeCell ref="H90:J90"/>
    <mergeCell ref="O165:Q165"/>
    <mergeCell ref="R165:T165"/>
    <mergeCell ref="I165:K165"/>
    <mergeCell ref="L164:N164"/>
    <mergeCell ref="U163:W163"/>
    <mergeCell ref="O164:Q164"/>
    <mergeCell ref="R163:T163"/>
    <mergeCell ref="L165:N165"/>
    <mergeCell ref="I164:K164"/>
    <mergeCell ref="L163:N163"/>
    <mergeCell ref="I163:K163"/>
    <mergeCell ref="O163:Q163"/>
    <mergeCell ref="Y75:AA75"/>
    <mergeCell ref="T114:W114"/>
    <mergeCell ref="X114:AA114"/>
    <mergeCell ref="H115:AA115"/>
    <mergeCell ref="G127:Q127"/>
    <mergeCell ref="R127:U127"/>
    <mergeCell ref="H114:S114"/>
    <mergeCell ref="B111:AA111"/>
    <mergeCell ref="S90:V90"/>
    <mergeCell ref="U78:W79"/>
    <mergeCell ref="Q80:S80"/>
    <mergeCell ref="Y78:AA79"/>
    <mergeCell ref="B90:G90"/>
    <mergeCell ref="L90:R90"/>
    <mergeCell ref="G118:M118"/>
    <mergeCell ref="G117:M117"/>
    <mergeCell ref="N119:Q119"/>
    <mergeCell ref="M113:P113"/>
    <mergeCell ref="Q113:S113"/>
    <mergeCell ref="U75:W75"/>
    <mergeCell ref="U76:W76"/>
    <mergeCell ref="Y80:AA81"/>
    <mergeCell ref="S101:U101"/>
    <mergeCell ref="M101:R101"/>
    <mergeCell ref="O161:Q161"/>
    <mergeCell ref="R161:T161"/>
    <mergeCell ref="U161:W161"/>
    <mergeCell ref="E161:H161"/>
    <mergeCell ref="I161:K161"/>
    <mergeCell ref="E162:H162"/>
    <mergeCell ref="U160:W160"/>
    <mergeCell ref="O162:Q162"/>
    <mergeCell ref="C73:H73"/>
    <mergeCell ref="R162:T162"/>
    <mergeCell ref="O154:Q154"/>
    <mergeCell ref="E160:H160"/>
    <mergeCell ref="U80:W81"/>
    <mergeCell ref="N77:P77"/>
    <mergeCell ref="L78:M78"/>
    <mergeCell ref="R149:T149"/>
    <mergeCell ref="U150:W150"/>
    <mergeCell ref="E149:H149"/>
    <mergeCell ref="O149:Q149"/>
    <mergeCell ref="O151:Q151"/>
    <mergeCell ref="L150:N150"/>
    <mergeCell ref="L149:N149"/>
    <mergeCell ref="L154:N154"/>
    <mergeCell ref="L152:N152"/>
    <mergeCell ref="Y74:AA74"/>
    <mergeCell ref="O73:P73"/>
    <mergeCell ref="K73:L73"/>
    <mergeCell ref="U74:W74"/>
    <mergeCell ref="Y71:AA71"/>
    <mergeCell ref="Y72:AA73"/>
    <mergeCell ref="K71:O71"/>
    <mergeCell ref="M73:N73"/>
    <mergeCell ref="H61:M61"/>
    <mergeCell ref="Q63:T64"/>
    <mergeCell ref="C64:H64"/>
    <mergeCell ref="U67:W67"/>
    <mergeCell ref="Z68:AA68"/>
    <mergeCell ref="C69:T69"/>
    <mergeCell ref="C70:S70"/>
    <mergeCell ref="U63:W63"/>
    <mergeCell ref="U69:W69"/>
    <mergeCell ref="C74:T74"/>
    <mergeCell ref="U64:W64"/>
    <mergeCell ref="U66:W66"/>
    <mergeCell ref="Q73:R73"/>
    <mergeCell ref="K72:L72"/>
    <mergeCell ref="Q71:T71"/>
    <mergeCell ref="C71:J71"/>
    <mergeCell ref="B85:R85"/>
    <mergeCell ref="K79:M79"/>
    <mergeCell ref="C80:K80"/>
    <mergeCell ref="N79:P79"/>
    <mergeCell ref="Q78:T78"/>
    <mergeCell ref="Q79:S79"/>
    <mergeCell ref="S129:W129"/>
    <mergeCell ref="G122:M122"/>
    <mergeCell ref="Q102:T102"/>
    <mergeCell ref="B81:S81"/>
    <mergeCell ref="G123:M123"/>
    <mergeCell ref="U102:Z102"/>
    <mergeCell ref="Q106:AA106"/>
    <mergeCell ref="B98:AA98"/>
    <mergeCell ref="M106:P106"/>
    <mergeCell ref="Q100:T100"/>
    <mergeCell ref="M102:P102"/>
    <mergeCell ref="H96:J96"/>
    <mergeCell ref="R122:U122"/>
    <mergeCell ref="N122:Q122"/>
    <mergeCell ref="B110:AA110"/>
    <mergeCell ref="T104:Z105"/>
    <mergeCell ref="N120:Q120"/>
    <mergeCell ref="N121:Q121"/>
    <mergeCell ref="X154:Z154"/>
    <mergeCell ref="X159:Z159"/>
    <mergeCell ref="U159:W159"/>
    <mergeCell ref="X151:Z151"/>
    <mergeCell ref="X153:Z153"/>
    <mergeCell ref="G94:AA94"/>
    <mergeCell ref="N123:Q123"/>
    <mergeCell ref="B83:AA83"/>
    <mergeCell ref="B84:AA84"/>
    <mergeCell ref="B88:AA88"/>
    <mergeCell ref="L159:N159"/>
    <mergeCell ref="R159:T159"/>
    <mergeCell ref="I152:K152"/>
    <mergeCell ref="R150:T150"/>
    <mergeCell ref="U151:W151"/>
    <mergeCell ref="O150:Q150"/>
    <mergeCell ref="R118:U118"/>
    <mergeCell ref="B87:AA87"/>
    <mergeCell ref="R119:U119"/>
    <mergeCell ref="B109:AA109"/>
    <mergeCell ref="B104:R104"/>
    <mergeCell ref="L158:Z158"/>
    <mergeCell ref="X150:Z150"/>
    <mergeCell ref="L151:N151"/>
    <mergeCell ref="X161:Z161"/>
    <mergeCell ref="O160:Q160"/>
    <mergeCell ref="I162:K162"/>
    <mergeCell ref="I154:K154"/>
    <mergeCell ref="Y76:AA76"/>
    <mergeCell ref="Q77:T77"/>
    <mergeCell ref="Y77:AA77"/>
    <mergeCell ref="U77:W77"/>
    <mergeCell ref="B95:G95"/>
    <mergeCell ref="C76:T76"/>
    <mergeCell ref="T80:T81"/>
    <mergeCell ref="G121:M121"/>
    <mergeCell ref="X80:X81"/>
    <mergeCell ref="X162:Z162"/>
    <mergeCell ref="X152:Z152"/>
    <mergeCell ref="X149:Z149"/>
    <mergeCell ref="R160:T160"/>
    <mergeCell ref="O159:Q159"/>
    <mergeCell ref="O153:Q153"/>
    <mergeCell ref="I151:K151"/>
    <mergeCell ref="L153:N153"/>
    <mergeCell ref="I158:K159"/>
    <mergeCell ref="I160:K160"/>
    <mergeCell ref="E158:H159"/>
    <mergeCell ref="B199:F199"/>
    <mergeCell ref="B178:F178"/>
    <mergeCell ref="J194:R194"/>
    <mergeCell ref="M185:P185"/>
    <mergeCell ref="J188:P188"/>
    <mergeCell ref="U188:Z188"/>
    <mergeCell ref="Q185:V185"/>
    <mergeCell ref="B175:AA175"/>
    <mergeCell ref="Q188:T188"/>
    <mergeCell ref="B176:AA176"/>
    <mergeCell ref="E185:L185"/>
    <mergeCell ref="J173:O173"/>
    <mergeCell ref="J32:K32"/>
    <mergeCell ref="N37:AA37"/>
    <mergeCell ref="Z42:AA42"/>
    <mergeCell ref="V43:Y43"/>
    <mergeCell ref="B43:K43"/>
    <mergeCell ref="B38:K38"/>
    <mergeCell ref="X39:Y39"/>
    <mergeCell ref="N38:AA38"/>
    <mergeCell ref="N39:O39"/>
    <mergeCell ref="Z39:AA39"/>
    <mergeCell ref="T39:U39"/>
    <mergeCell ref="N35:AA36"/>
    <mergeCell ref="Z40:AA40"/>
    <mergeCell ref="Z41:AA41"/>
    <mergeCell ref="B35:K35"/>
    <mergeCell ref="B34:K34"/>
    <mergeCell ref="S34:Y34"/>
    <mergeCell ref="P34:Q34"/>
    <mergeCell ref="M34:M44"/>
    <mergeCell ref="N34:O34"/>
    <mergeCell ref="V40:W40"/>
    <mergeCell ref="T41:U41"/>
    <mergeCell ref="E169:Z169"/>
    <mergeCell ref="B50:B55"/>
    <mergeCell ref="O55:Q55"/>
    <mergeCell ref="U50:W50"/>
    <mergeCell ref="U54:W54"/>
    <mergeCell ref="U53:W53"/>
    <mergeCell ref="U52:W52"/>
    <mergeCell ref="U51:W51"/>
    <mergeCell ref="P47:R47"/>
    <mergeCell ref="M47:O47"/>
    <mergeCell ref="J47:L47"/>
    <mergeCell ref="C47:G47"/>
    <mergeCell ref="C54:F54"/>
    <mergeCell ref="C55:F55"/>
    <mergeCell ref="C50:Q50"/>
    <mergeCell ref="H54:N54"/>
    <mergeCell ref="H55:N55"/>
    <mergeCell ref="O54:Q54"/>
    <mergeCell ref="U55:W55"/>
    <mergeCell ref="Z57:AA61"/>
    <mergeCell ref="R65:S65"/>
    <mergeCell ref="B58:U58"/>
    <mergeCell ref="W57:Y57"/>
    <mergeCell ref="W59:Y61"/>
    <mergeCell ref="B60:B67"/>
    <mergeCell ref="C61:F61"/>
    <mergeCell ref="Y65:AA65"/>
    <mergeCell ref="Y66:AA66"/>
    <mergeCell ref="W58:Y58"/>
    <mergeCell ref="U65:W65"/>
    <mergeCell ref="U62:W62"/>
    <mergeCell ref="Y67:AA67"/>
    <mergeCell ref="C66:P66"/>
    <mergeCell ref="J64:P64"/>
    <mergeCell ref="D65:Q65"/>
    <mergeCell ref="Q66:T66"/>
    <mergeCell ref="Y64:AA64"/>
    <mergeCell ref="X62:X67"/>
    <mergeCell ref="C62:P62"/>
    <mergeCell ref="C67:P67"/>
    <mergeCell ref="B40:K41"/>
    <mergeCell ref="B48:G49"/>
    <mergeCell ref="J49:L49"/>
    <mergeCell ref="H48:I48"/>
    <mergeCell ref="V42:Y42"/>
    <mergeCell ref="X46:X47"/>
    <mergeCell ref="M48:O48"/>
    <mergeCell ref="X48:X49"/>
    <mergeCell ref="N44:T44"/>
    <mergeCell ref="H49:I49"/>
    <mergeCell ref="B45:AA45"/>
    <mergeCell ref="L34:L43"/>
    <mergeCell ref="P49:R49"/>
    <mergeCell ref="U48:W49"/>
    <mergeCell ref="M49:O49"/>
    <mergeCell ref="P48:R48"/>
    <mergeCell ref="B46:I46"/>
    <mergeCell ref="J48:L48"/>
    <mergeCell ref="S48:T49"/>
    <mergeCell ref="U46:W47"/>
    <mergeCell ref="T42:U42"/>
    <mergeCell ref="N43:U43"/>
    <mergeCell ref="V44:Z44"/>
    <mergeCell ref="B44:K44"/>
    <mergeCell ref="R154:T154"/>
    <mergeCell ref="E150:H150"/>
    <mergeCell ref="U154:W154"/>
    <mergeCell ref="E152:H152"/>
    <mergeCell ref="U152:W152"/>
    <mergeCell ref="E153:H153"/>
    <mergeCell ref="E154:H154"/>
    <mergeCell ref="I153:K153"/>
    <mergeCell ref="R151:T151"/>
    <mergeCell ref="O152:Q152"/>
    <mergeCell ref="R152:T152"/>
    <mergeCell ref="R153:T153"/>
    <mergeCell ref="U153:W153"/>
    <mergeCell ref="H133:AA133"/>
    <mergeCell ref="E147:H148"/>
    <mergeCell ref="E151:H151"/>
    <mergeCell ref="N117:Q117"/>
    <mergeCell ref="G139:H139"/>
    <mergeCell ref="N118:Q118"/>
    <mergeCell ref="I139:J139"/>
    <mergeCell ref="K137:L137"/>
    <mergeCell ref="N125:Q125"/>
    <mergeCell ref="G128:AA128"/>
    <mergeCell ref="G125:M125"/>
    <mergeCell ref="R123:U123"/>
    <mergeCell ref="R125:U125"/>
    <mergeCell ref="L148:N148"/>
    <mergeCell ref="G137:H137"/>
    <mergeCell ref="G126:Q126"/>
    <mergeCell ref="B132:AA132"/>
    <mergeCell ref="X148:Z148"/>
    <mergeCell ref="U148:W148"/>
    <mergeCell ref="I149:K149"/>
    <mergeCell ref="G129:M129"/>
    <mergeCell ref="N137:O137"/>
    <mergeCell ref="U149:W149"/>
    <mergeCell ref="K139:L139"/>
    <mergeCell ref="H95:J95"/>
    <mergeCell ref="N130:R130"/>
    <mergeCell ref="U71:W71"/>
    <mergeCell ref="U70:W70"/>
    <mergeCell ref="Y54:AA54"/>
    <mergeCell ref="Y53:AA53"/>
    <mergeCell ref="Y52:AA52"/>
    <mergeCell ref="O148:Q148"/>
    <mergeCell ref="N139:O139"/>
    <mergeCell ref="R136:AA140"/>
    <mergeCell ref="R126:U126"/>
    <mergeCell ref="R120:U120"/>
    <mergeCell ref="R148:T148"/>
    <mergeCell ref="R121:U121"/>
    <mergeCell ref="C57:U57"/>
    <mergeCell ref="I56:S56"/>
    <mergeCell ref="B56:G56"/>
    <mergeCell ref="U56:W56"/>
    <mergeCell ref="B59:T59"/>
    <mergeCell ref="Y56:AA56"/>
    <mergeCell ref="Y62:AA62"/>
    <mergeCell ref="N60:O60"/>
    <mergeCell ref="B77:M77"/>
    <mergeCell ref="X71:X74"/>
    <mergeCell ref="B69:B74"/>
    <mergeCell ref="B75:S75"/>
    <mergeCell ref="Q62:T62"/>
    <mergeCell ref="W68:Y68"/>
    <mergeCell ref="R40:S40"/>
    <mergeCell ref="T40:U40"/>
    <mergeCell ref="X40:Y40"/>
    <mergeCell ref="R41:S41"/>
    <mergeCell ref="Y51:AA51"/>
    <mergeCell ref="X51:X55"/>
    <mergeCell ref="U60:V61"/>
    <mergeCell ref="Y48:AA49"/>
    <mergeCell ref="Y46:AA47"/>
    <mergeCell ref="Z43:AA43"/>
    <mergeCell ref="P41:Q41"/>
    <mergeCell ref="C51:Q51"/>
    <mergeCell ref="J52:Q52"/>
    <mergeCell ref="C53:P53"/>
    <mergeCell ref="Y55:AA55"/>
    <mergeCell ref="Y50:AA50"/>
    <mergeCell ref="Y63:AA63"/>
    <mergeCell ref="P60:P61"/>
    <mergeCell ref="N61:O61"/>
    <mergeCell ref="Q60:T61"/>
    <mergeCell ref="B1:AA1"/>
    <mergeCell ref="C4:D4"/>
    <mergeCell ref="C5:D5"/>
    <mergeCell ref="C6:D6"/>
    <mergeCell ref="E4:AA4"/>
    <mergeCell ref="E5:AA5"/>
    <mergeCell ref="E6:AA6"/>
    <mergeCell ref="B4:B6"/>
    <mergeCell ref="B3:AA3"/>
    <mergeCell ref="B2:AA2"/>
    <mergeCell ref="M23:R23"/>
    <mergeCell ref="B12:E12"/>
    <mergeCell ref="F12:N12"/>
    <mergeCell ref="F21:L21"/>
    <mergeCell ref="M19:R19"/>
    <mergeCell ref="M20:R20"/>
    <mergeCell ref="F14:N14"/>
    <mergeCell ref="B9:AA9"/>
    <mergeCell ref="U23:W23"/>
    <mergeCell ref="U18:W18"/>
    <mergeCell ref="B14:E14"/>
    <mergeCell ref="P10:S10"/>
    <mergeCell ref="P12:S12"/>
    <mergeCell ref="B10:E10"/>
    <mergeCell ref="Y12:AA12"/>
    <mergeCell ref="U19:W19"/>
    <mergeCell ref="U20:W20"/>
    <mergeCell ref="S19:T19"/>
    <mergeCell ref="S20:T20"/>
    <mergeCell ref="U12:W12"/>
    <mergeCell ref="U16:Z16"/>
    <mergeCell ref="S21:T21"/>
    <mergeCell ref="X18:Z23"/>
    <mergeCell ref="F10:J10"/>
    <mergeCell ref="AI43:AI49"/>
    <mergeCell ref="T210:Z210"/>
    <mergeCell ref="H101:L101"/>
    <mergeCell ref="H102:L102"/>
    <mergeCell ref="L207:AA207"/>
    <mergeCell ref="F22:L22"/>
    <mergeCell ref="F23:L23"/>
    <mergeCell ref="S23:T23"/>
    <mergeCell ref="L147:Z147"/>
    <mergeCell ref="N129:R129"/>
    <mergeCell ref="R117:U117"/>
    <mergeCell ref="V101:AA101"/>
    <mergeCell ref="G119:M119"/>
    <mergeCell ref="G120:M120"/>
    <mergeCell ref="I147:K148"/>
    <mergeCell ref="G130:M130"/>
    <mergeCell ref="U22:W22"/>
    <mergeCell ref="S24:T24"/>
    <mergeCell ref="U24:W24"/>
    <mergeCell ref="M22:R22"/>
    <mergeCell ref="Y70:AA70"/>
    <mergeCell ref="B68:T68"/>
    <mergeCell ref="S22:T22"/>
    <mergeCell ref="I24:L24"/>
    <mergeCell ref="A3:A7"/>
    <mergeCell ref="A9:A29"/>
    <mergeCell ref="B32:I32"/>
    <mergeCell ref="B31:AA31"/>
    <mergeCell ref="N28:W28"/>
    <mergeCell ref="N26:W26"/>
    <mergeCell ref="L32:Q32"/>
    <mergeCell ref="B18:E18"/>
    <mergeCell ref="F18:L18"/>
    <mergeCell ref="M16:R17"/>
    <mergeCell ref="F16:L17"/>
    <mergeCell ref="B16:E16"/>
    <mergeCell ref="M18:R18"/>
    <mergeCell ref="U17:W17"/>
    <mergeCell ref="X17:Z17"/>
    <mergeCell ref="M24:R24"/>
    <mergeCell ref="F19:L19"/>
    <mergeCell ref="F20:L20"/>
    <mergeCell ref="M21:R21"/>
    <mergeCell ref="U21:W21"/>
    <mergeCell ref="S16:T17"/>
    <mergeCell ref="S18:T18"/>
    <mergeCell ref="B8:AA8"/>
    <mergeCell ref="B7:AA7"/>
    <mergeCell ref="I256:Z256"/>
    <mergeCell ref="C252:H252"/>
    <mergeCell ref="I252:Z252"/>
    <mergeCell ref="C254:H254"/>
    <mergeCell ref="I254:Z254"/>
    <mergeCell ref="I255:Z255"/>
    <mergeCell ref="I253:Z253"/>
    <mergeCell ref="B206:F207"/>
    <mergeCell ref="S208:Y208"/>
    <mergeCell ref="C247:P247"/>
    <mergeCell ref="R247:S247"/>
    <mergeCell ref="H224:I224"/>
    <mergeCell ref="N224:V224"/>
    <mergeCell ref="H225:L225"/>
    <mergeCell ref="P225:X225"/>
    <mergeCell ref="I228:R228"/>
    <mergeCell ref="I229:R229"/>
    <mergeCell ref="C211:AA211"/>
    <mergeCell ref="G212:R212"/>
    <mergeCell ref="S212:U212"/>
    <mergeCell ref="C236:L236"/>
    <mergeCell ref="D229:H229"/>
    <mergeCell ref="D228:H228"/>
    <mergeCell ref="D230:H230"/>
    <mergeCell ref="B245:I245"/>
    <mergeCell ref="B244:I244"/>
    <mergeCell ref="U72:W73"/>
    <mergeCell ref="X76:X79"/>
    <mergeCell ref="V41:W41"/>
    <mergeCell ref="V39:W39"/>
    <mergeCell ref="Q67:T67"/>
    <mergeCell ref="X24:Z24"/>
    <mergeCell ref="S46:T47"/>
    <mergeCell ref="B151:C151"/>
    <mergeCell ref="C205:AA205"/>
    <mergeCell ref="R124:U124"/>
    <mergeCell ref="G124:Q124"/>
    <mergeCell ref="X165:Z165"/>
    <mergeCell ref="X164:Z164"/>
    <mergeCell ref="I150:K150"/>
    <mergeCell ref="I137:J137"/>
    <mergeCell ref="R164:T164"/>
    <mergeCell ref="L161:N161"/>
    <mergeCell ref="L162:N162"/>
    <mergeCell ref="B162:C162"/>
    <mergeCell ref="I230:R230"/>
    <mergeCell ref="J224:M224"/>
    <mergeCell ref="Y69:AA69"/>
  </mergeCells>
  <phoneticPr fontId="0" type="noConversion"/>
  <conditionalFormatting sqref="B182:B183">
    <cfRule type="expression" dxfId="292" priority="221" stopIfTrue="1">
      <formula>G184=2</formula>
    </cfRule>
  </conditionalFormatting>
  <conditionalFormatting sqref="B195">
    <cfRule type="expression" dxfId="291" priority="222" stopIfTrue="1">
      <formula>G198=2</formula>
    </cfRule>
  </conditionalFormatting>
  <conditionalFormatting sqref="B189">
    <cfRule type="expression" dxfId="290" priority="223" stopIfTrue="1">
      <formula>G193=2</formula>
    </cfRule>
  </conditionalFormatting>
  <conditionalFormatting sqref="L149:N149">
    <cfRule type="expression" dxfId="289" priority="225" stopIfTrue="1">
      <formula>OR(NOT(ISNUMBER(I149)),K145="x",L149=0)</formula>
    </cfRule>
  </conditionalFormatting>
  <conditionalFormatting sqref="O149:Q149">
    <cfRule type="expression" dxfId="288" priority="226" stopIfTrue="1">
      <formula>OR(NOT(ISNUMBER(I149)),K145="x",O149=0)</formula>
    </cfRule>
  </conditionalFormatting>
  <conditionalFormatting sqref="R149:T149">
    <cfRule type="expression" dxfId="287" priority="227" stopIfTrue="1">
      <formula>OR(NOT(ISNUMBER(I149)),K145="x",R149=0)</formula>
    </cfRule>
  </conditionalFormatting>
  <conditionalFormatting sqref="U149:W149">
    <cfRule type="expression" dxfId="286" priority="228" stopIfTrue="1">
      <formula>OR(NOT(ISNUMBER(I149)),K145="x",U149=0)</formula>
    </cfRule>
  </conditionalFormatting>
  <conditionalFormatting sqref="X149:Z149">
    <cfRule type="expression" dxfId="285" priority="229" stopIfTrue="1">
      <formula>OR(NOT(ISNUMBER(I149)),K145="x",X149=0)</formula>
    </cfRule>
  </conditionalFormatting>
  <conditionalFormatting sqref="L150:N150">
    <cfRule type="expression" dxfId="284" priority="230" stopIfTrue="1">
      <formula>OR(NOT(ISNUMBER(I150)),K145="x",L150=0)</formula>
    </cfRule>
  </conditionalFormatting>
  <conditionalFormatting sqref="U150:W150">
    <cfRule type="expression" dxfId="283" priority="231" stopIfTrue="1">
      <formula>OR(NOT(ISNUMBER(I150)),K145="x",U150=0)</formula>
    </cfRule>
  </conditionalFormatting>
  <conditionalFormatting sqref="O150:Q150">
    <cfRule type="expression" dxfId="282" priority="232" stopIfTrue="1">
      <formula>OR(NOT(ISNUMBER(I150)),K145="x",O150=0)</formula>
    </cfRule>
  </conditionalFormatting>
  <conditionalFormatting sqref="R150:T150">
    <cfRule type="expression" dxfId="281" priority="233" stopIfTrue="1">
      <formula>OR(NOT(ISNUMBER(I150)),K145="x",R150=0)</formula>
    </cfRule>
  </conditionalFormatting>
  <conditionalFormatting sqref="X150:Z150">
    <cfRule type="expression" dxfId="280" priority="234" stopIfTrue="1">
      <formula>OR(NOT(ISNUMBER(I150)),K145="x",X150=0)</formula>
    </cfRule>
  </conditionalFormatting>
  <conditionalFormatting sqref="L151:N151">
    <cfRule type="expression" dxfId="279" priority="235" stopIfTrue="1">
      <formula>OR(NOT(ISNUMBER(I151)),K145="x",L151=0)</formula>
    </cfRule>
  </conditionalFormatting>
  <conditionalFormatting sqref="O151:Q151">
    <cfRule type="expression" dxfId="278" priority="236" stopIfTrue="1">
      <formula>OR(NOT(ISNUMBER(I151)),K145="x",O151=0)</formula>
    </cfRule>
  </conditionalFormatting>
  <conditionalFormatting sqref="R151:T151">
    <cfRule type="expression" dxfId="277" priority="237" stopIfTrue="1">
      <formula>OR(NOT(ISNUMBER(I151)),K145="x",R151=0)</formula>
    </cfRule>
  </conditionalFormatting>
  <conditionalFormatting sqref="U151:W151">
    <cfRule type="expression" dxfId="276" priority="238" stopIfTrue="1">
      <formula>OR(NOT(ISNUMBER(I151)),K145="x",U151=0)</formula>
    </cfRule>
  </conditionalFormatting>
  <conditionalFormatting sqref="X151:Z151">
    <cfRule type="expression" dxfId="275" priority="239" stopIfTrue="1">
      <formula>OR(NOT(ISNUMBER(I151)),K145="x",X151=0)</formula>
    </cfRule>
  </conditionalFormatting>
  <conditionalFormatting sqref="L152:N152">
    <cfRule type="expression" dxfId="274" priority="240" stopIfTrue="1">
      <formula>OR(NOT(ISNUMBER(I152)),K145="x",L152=0)</formula>
    </cfRule>
  </conditionalFormatting>
  <conditionalFormatting sqref="O152:Q152">
    <cfRule type="expression" dxfId="273" priority="241" stopIfTrue="1">
      <formula>OR(NOT(ISNUMBER(I152)),K145="x",O152=0)</formula>
    </cfRule>
  </conditionalFormatting>
  <conditionalFormatting sqref="R152:T152">
    <cfRule type="expression" dxfId="272" priority="242" stopIfTrue="1">
      <formula>OR(NOT(ISNUMBER(I152)),K145="x",R152=0)</formula>
    </cfRule>
  </conditionalFormatting>
  <conditionalFormatting sqref="U152:W152">
    <cfRule type="expression" dxfId="271" priority="243" stopIfTrue="1">
      <formula>OR(NOT(ISNUMBER(I152)),K145="x",U152=0)</formula>
    </cfRule>
  </conditionalFormatting>
  <conditionalFormatting sqref="X152:Z152">
    <cfRule type="expression" dxfId="270" priority="244" stopIfTrue="1">
      <formula>OR(NOT(ISNUMBER(I152)),K145="x",X152=0)</formula>
    </cfRule>
  </conditionalFormatting>
  <conditionalFormatting sqref="L153:N153">
    <cfRule type="expression" dxfId="269" priority="245" stopIfTrue="1">
      <formula>OR(NOT(ISNUMBER(I153)),K145="x",L153=0)</formula>
    </cfRule>
  </conditionalFormatting>
  <conditionalFormatting sqref="O153:Q153">
    <cfRule type="expression" dxfId="268" priority="246" stopIfTrue="1">
      <formula>OR(NOT(ISNUMBER(I153)),K145="x",O153=0)</formula>
    </cfRule>
  </conditionalFormatting>
  <conditionalFormatting sqref="R153:T153">
    <cfRule type="expression" dxfId="267" priority="247" stopIfTrue="1">
      <formula>OR(NOT(ISNUMBER(I153)),K145="x",R153=0)</formula>
    </cfRule>
  </conditionalFormatting>
  <conditionalFormatting sqref="U153:W153">
    <cfRule type="expression" dxfId="266" priority="248" stopIfTrue="1">
      <formula>OR(NOT(ISNUMBER(I153)),K145="x",U153=0)</formula>
    </cfRule>
  </conditionalFormatting>
  <conditionalFormatting sqref="X153:Z153">
    <cfRule type="expression" dxfId="265" priority="249" stopIfTrue="1">
      <formula>OR(NOT(ISNUMBER(I153)),K145="x",X153=0)</formula>
    </cfRule>
  </conditionalFormatting>
  <conditionalFormatting sqref="L154:N154">
    <cfRule type="expression" dxfId="264" priority="250" stopIfTrue="1">
      <formula>OR(NOT(ISNUMBER(I154)),K145="x",L154=0)</formula>
    </cfRule>
  </conditionalFormatting>
  <conditionalFormatting sqref="O154:Q154">
    <cfRule type="expression" dxfId="263" priority="251" stopIfTrue="1">
      <formula>OR(NOT(ISNUMBER(I154)),K145="x",O154=0)</formula>
    </cfRule>
  </conditionalFormatting>
  <conditionalFormatting sqref="R154:T154">
    <cfRule type="expression" dxfId="262" priority="252" stopIfTrue="1">
      <formula>OR(NOT(ISNUMBER(I154)),K145="x",R154=0)</formula>
    </cfRule>
  </conditionalFormatting>
  <conditionalFormatting sqref="U154:W154">
    <cfRule type="expression" dxfId="261" priority="253" stopIfTrue="1">
      <formula>OR(NOT(ISNUMBER(I154)),K145="x",U154=0)</formula>
    </cfRule>
  </conditionalFormatting>
  <conditionalFormatting sqref="X154:Z154">
    <cfRule type="expression" dxfId="260" priority="254" stopIfTrue="1">
      <formula>OR(NOT(ISNUMBER(I154)),K145="x",X154=0)</formula>
    </cfRule>
  </conditionalFormatting>
  <conditionalFormatting sqref="L160:N160">
    <cfRule type="expression" dxfId="259" priority="255" stopIfTrue="1">
      <formula>NOT(K145="x")</formula>
    </cfRule>
  </conditionalFormatting>
  <conditionalFormatting sqref="O160:Q160">
    <cfRule type="expression" dxfId="258" priority="256" stopIfTrue="1">
      <formula>NOT(K145="x")</formula>
    </cfRule>
  </conditionalFormatting>
  <conditionalFormatting sqref="R160:T160">
    <cfRule type="expression" dxfId="257" priority="257" stopIfTrue="1">
      <formula>NOT(K145="x")</formula>
    </cfRule>
  </conditionalFormatting>
  <conditionalFormatting sqref="U160:W160">
    <cfRule type="expression" dxfId="256" priority="258" stopIfTrue="1">
      <formula>NOT(K145="x")</formula>
    </cfRule>
  </conditionalFormatting>
  <conditionalFormatting sqref="X160:Z160">
    <cfRule type="expression" dxfId="255" priority="259" stopIfTrue="1">
      <formula>NOT(K145="x")</formula>
    </cfRule>
  </conditionalFormatting>
  <conditionalFormatting sqref="U161:W161">
    <cfRule type="expression" dxfId="254" priority="260" stopIfTrue="1">
      <formula>NOT(K145="x")</formula>
    </cfRule>
  </conditionalFormatting>
  <conditionalFormatting sqref="X161:Z161">
    <cfRule type="expression" dxfId="253" priority="261" stopIfTrue="1">
      <formula>NOT(K145="x")</formula>
    </cfRule>
  </conditionalFormatting>
  <conditionalFormatting sqref="R161:T161">
    <cfRule type="expression" dxfId="252" priority="262" stopIfTrue="1">
      <formula>NOT(K145="x")</formula>
    </cfRule>
  </conditionalFormatting>
  <conditionalFormatting sqref="O161:Q161">
    <cfRule type="expression" dxfId="251" priority="263" stopIfTrue="1">
      <formula>NOT(K145="x")</formula>
    </cfRule>
  </conditionalFormatting>
  <conditionalFormatting sqref="L161:N161">
    <cfRule type="expression" dxfId="250" priority="264" stopIfTrue="1">
      <formula>NOT(K145="x")</formula>
    </cfRule>
  </conditionalFormatting>
  <conditionalFormatting sqref="L162:N162">
    <cfRule type="expression" dxfId="249" priority="265" stopIfTrue="1">
      <formula>NOT(K145="x")</formula>
    </cfRule>
  </conditionalFormatting>
  <conditionalFormatting sqref="O162:Q162">
    <cfRule type="expression" dxfId="248" priority="266" stopIfTrue="1">
      <formula>NOT(K145="x")</formula>
    </cfRule>
  </conditionalFormatting>
  <conditionalFormatting sqref="R162:T162">
    <cfRule type="expression" dxfId="247" priority="267" stopIfTrue="1">
      <formula>NOT(K145="x")</formula>
    </cfRule>
  </conditionalFormatting>
  <conditionalFormatting sqref="U162:W162">
    <cfRule type="expression" dxfId="246" priority="268" stopIfTrue="1">
      <formula>NOT(K145="x")</formula>
    </cfRule>
  </conditionalFormatting>
  <conditionalFormatting sqref="X162:Z162">
    <cfRule type="expression" dxfId="245" priority="269" stopIfTrue="1">
      <formula>NOT(K145="x")</formula>
    </cfRule>
  </conditionalFormatting>
  <conditionalFormatting sqref="L163:N163">
    <cfRule type="expression" dxfId="244" priority="270" stopIfTrue="1">
      <formula>NOT(K145="x")</formula>
    </cfRule>
  </conditionalFormatting>
  <conditionalFormatting sqref="O163:Q163">
    <cfRule type="expression" dxfId="243" priority="271" stopIfTrue="1">
      <formula>NOT(K145="x")</formula>
    </cfRule>
  </conditionalFormatting>
  <conditionalFormatting sqref="R163:T163">
    <cfRule type="expression" dxfId="242" priority="272" stopIfTrue="1">
      <formula>NOT(K145="x")</formula>
    </cfRule>
  </conditionalFormatting>
  <conditionalFormatting sqref="U163:W163">
    <cfRule type="expression" dxfId="241" priority="273" stopIfTrue="1">
      <formula>NOT(K145="x")</formula>
    </cfRule>
  </conditionalFormatting>
  <conditionalFormatting sqref="X163:Z163">
    <cfRule type="expression" dxfId="240" priority="274" stopIfTrue="1">
      <formula>NOT(K145="x")</formula>
    </cfRule>
  </conditionalFormatting>
  <conditionalFormatting sqref="L164:N164">
    <cfRule type="expression" dxfId="239" priority="275" stopIfTrue="1">
      <formula>NOT(K145="x")</formula>
    </cfRule>
  </conditionalFormatting>
  <conditionalFormatting sqref="O164:Q164">
    <cfRule type="expression" dxfId="238" priority="276" stopIfTrue="1">
      <formula>NOT(K145="x")</formula>
    </cfRule>
  </conditionalFormatting>
  <conditionalFormatting sqref="R164:T164">
    <cfRule type="expression" dxfId="237" priority="277" stopIfTrue="1">
      <formula>NOT(K145="x")</formula>
    </cfRule>
  </conditionalFormatting>
  <conditionalFormatting sqref="U164:W164">
    <cfRule type="expression" dxfId="236" priority="278" stopIfTrue="1">
      <formula>NOT(K145="x")</formula>
    </cfRule>
  </conditionalFormatting>
  <conditionalFormatting sqref="X164:Z164">
    <cfRule type="expression" dxfId="235" priority="279" stopIfTrue="1">
      <formula>NOT(K145="x")</formula>
    </cfRule>
  </conditionalFormatting>
  <conditionalFormatting sqref="L165:N165">
    <cfRule type="expression" dxfId="234" priority="280" stopIfTrue="1">
      <formula>NOT(K145="x")</formula>
    </cfRule>
  </conditionalFormatting>
  <conditionalFormatting sqref="O165:Q165">
    <cfRule type="expression" dxfId="233" priority="281" stopIfTrue="1">
      <formula>NOT(K145="x")</formula>
    </cfRule>
  </conditionalFormatting>
  <conditionalFormatting sqref="R165:T165">
    <cfRule type="expression" dxfId="232" priority="282" stopIfTrue="1">
      <formula>NOT(K145="x")</formula>
    </cfRule>
  </conditionalFormatting>
  <conditionalFormatting sqref="U165:W165">
    <cfRule type="expression" dxfId="231" priority="283" stopIfTrue="1">
      <formula>NOT(K145="x")</formula>
    </cfRule>
  </conditionalFormatting>
  <conditionalFormatting sqref="X165:Z165">
    <cfRule type="expression" dxfId="230" priority="284" stopIfTrue="1">
      <formula>NOT(K145="x")</formula>
    </cfRule>
  </conditionalFormatting>
  <conditionalFormatting sqref="K145">
    <cfRule type="expression" dxfId="229" priority="285" stopIfTrue="1">
      <formula>NOT(ISBLANK(L145))</formula>
    </cfRule>
    <cfRule type="expression" dxfId="228" priority="286" stopIfTrue="1">
      <formula>K145="x"</formula>
    </cfRule>
  </conditionalFormatting>
  <conditionalFormatting sqref="B92">
    <cfRule type="expression" dxfId="227" priority="408" stopIfTrue="1">
      <formula>F93=2</formula>
    </cfRule>
  </conditionalFormatting>
  <conditionalFormatting sqref="X148 L148 O148 R148 U148 O159 L159 R159 U159 X159">
    <cfRule type="expression" dxfId="226" priority="218" stopIfTrue="1">
      <formula>NOT(ISNUMBER($L$148))</formula>
    </cfRule>
  </conditionalFormatting>
  <conditionalFormatting sqref="T42:U42">
    <cfRule type="cellIs" dxfId="225" priority="219" stopIfTrue="1" operator="equal">
      <formula>0</formula>
    </cfRule>
  </conditionalFormatting>
  <conditionalFormatting sqref="U18:W23">
    <cfRule type="expression" dxfId="224" priority="149" stopIfTrue="1">
      <formula>M18=MAX($M$18:$M$23)</formula>
    </cfRule>
  </conditionalFormatting>
  <conditionalFormatting sqref="S18:T23">
    <cfRule type="expression" dxfId="223" priority="131" stopIfTrue="1">
      <formula>NOT(ISBLANK(S18))</formula>
    </cfRule>
    <cfRule type="expression" dxfId="222" priority="145" stopIfTrue="1">
      <formula>NOT(ISBLANK(M18))</formula>
    </cfRule>
  </conditionalFormatting>
  <conditionalFormatting sqref="M18:R23">
    <cfRule type="expression" dxfId="221" priority="132" stopIfTrue="1">
      <formula>NOT(ISBLANK(M18))</formula>
    </cfRule>
    <cfRule type="expression" dxfId="220" priority="136" stopIfTrue="1">
      <formula>NOT(ISBLANK(S18))</formula>
    </cfRule>
  </conditionalFormatting>
  <conditionalFormatting sqref="N26:W26">
    <cfRule type="expression" dxfId="219" priority="133" stopIfTrue="1">
      <formula>NOT(ISBLANK(N26))</formula>
    </cfRule>
  </conditionalFormatting>
  <conditionalFormatting sqref="N28:W28">
    <cfRule type="expression" dxfId="218" priority="129" stopIfTrue="1">
      <formula>NOT(ISBLANK(N28))</formula>
    </cfRule>
  </conditionalFormatting>
  <conditionalFormatting sqref="B44:K44">
    <cfRule type="expression" dxfId="217" priority="451" stopIfTrue="1">
      <formula>NOT(ISBLANK($N$28))</formula>
    </cfRule>
  </conditionalFormatting>
  <conditionalFormatting sqref="X24">
    <cfRule type="expression" dxfId="216" priority="125" stopIfTrue="1">
      <formula>AND(ISNUMBER($M$24),ISNUMBER($X$24))</formula>
    </cfRule>
  </conditionalFormatting>
  <conditionalFormatting sqref="S90">
    <cfRule type="expression" dxfId="215" priority="117" stopIfTrue="1">
      <formula>(OR(NOT(ISBLANK(S92)),OR(NOT(ISBLANK($G$92)),NOT(ISBLANK($G$93)),ISNUMBER($S$90))))</formula>
    </cfRule>
  </conditionalFormatting>
  <conditionalFormatting sqref="H95:J95">
    <cfRule type="expression" dxfId="214" priority="64" stopIfTrue="1">
      <formula>OR(NOT(ISBLANK(S90)),NOT(ISBLANK(H95)))</formula>
    </cfRule>
    <cfRule type="expression" dxfId="213" priority="116" stopIfTrue="1">
      <formula>OR(NOT(ISBLANK($G$92)),NOT(ISBLANK($G$93)))</formula>
    </cfRule>
  </conditionalFormatting>
  <conditionalFormatting sqref="S85">
    <cfRule type="expression" dxfId="212" priority="483" stopIfTrue="1">
      <formula>NOT(ISBLANK(S85))</formula>
    </cfRule>
  </conditionalFormatting>
  <conditionalFormatting sqref="G92:G93">
    <cfRule type="expression" dxfId="211" priority="507" stopIfTrue="1">
      <formula>(OR(NOT(ISBLANK(G95)),OR(NOT(ISBLANK($G$92)),NOT(ISBLANK($G$93)),ISNUMBER($S$90))))</formula>
    </cfRule>
  </conditionalFormatting>
  <conditionalFormatting sqref="Q100:T100 M101:R101 V101:AA101 M102:P102 U102:Z102">
    <cfRule type="expression" dxfId="210" priority="107" stopIfTrue="1">
      <formula>ISNUMBER(M100)</formula>
    </cfRule>
    <cfRule type="expression" dxfId="209" priority="108" stopIfTrue="1">
      <formula>NOT(ISBLANK($G$100))</formula>
    </cfRule>
  </conditionalFormatting>
  <conditionalFormatting sqref="H107:H108">
    <cfRule type="expression" dxfId="208" priority="102" stopIfTrue="1">
      <formula>OR(NOT(ISBLANK($H$107)),NOT(ISBLANK($H$108)))</formula>
    </cfRule>
    <cfRule type="expression" dxfId="207" priority="104" stopIfTrue="1">
      <formula>NOT(ISBLANK($G$106))</formula>
    </cfRule>
  </conditionalFormatting>
  <conditionalFormatting sqref="G52 I52 G54:G55 G60 I63 N60:O60 U50:W51 Y50:AA51 O54:Q55 U62:W62 U66:W67 Y66:AA67 R65:S65 L78">
    <cfRule type="expression" dxfId="206" priority="663" stopIfTrue="1">
      <formula>OR(ISNUMBER(G50),NOT(ISBLANK($S$85)))</formula>
    </cfRule>
  </conditionalFormatting>
  <conditionalFormatting sqref="U64 Y62:AA62 Y64">
    <cfRule type="expression" dxfId="205" priority="677" stopIfTrue="1">
      <formula>OR(ISNUMBER(U62),NOT(ISBLANK($S$85)))</formula>
    </cfRule>
  </conditionalFormatting>
  <conditionalFormatting sqref="L80">
    <cfRule type="expression" dxfId="204" priority="687" stopIfTrue="1">
      <formula>OR(NOT(ISBLANK(L80)),NOT(ISBLANK($S$85)))</formula>
    </cfRule>
  </conditionalFormatting>
  <conditionalFormatting sqref="B85">
    <cfRule type="expression" dxfId="203" priority="688" stopIfTrue="1">
      <formula>AND(NOT(ISBLANK(J85)),NOT(ISBLANK(S85)))</formula>
    </cfRule>
  </conditionalFormatting>
  <conditionalFormatting sqref="I72">
    <cfRule type="expression" dxfId="202" priority="814" stopIfTrue="1">
      <formula>OR(ISNUMBER(K73),NOT(ISBLANK(I72)),NOT(ISBLANK(P46)),NOT(ISBLANK($S$85)))</formula>
    </cfRule>
  </conditionalFormatting>
  <conditionalFormatting sqref="R119:U119">
    <cfRule type="expression" dxfId="201" priority="53" stopIfTrue="1">
      <formula>ISNUMBER(R119)</formula>
    </cfRule>
    <cfRule type="expression" dxfId="200" priority="94" stopIfTrue="1">
      <formula>ISNUMBER(N119)</formula>
    </cfRule>
  </conditionalFormatting>
  <conditionalFormatting sqref="R120:U120">
    <cfRule type="expression" dxfId="199" priority="52" stopIfTrue="1">
      <formula>ISNUMBER(R120)</formula>
    </cfRule>
    <cfRule type="expression" dxfId="198" priority="93" stopIfTrue="1">
      <formula>ISNUMBER(N120)</formula>
    </cfRule>
  </conditionalFormatting>
  <conditionalFormatting sqref="G182:G183">
    <cfRule type="expression" dxfId="197" priority="79" stopIfTrue="1">
      <formula>OR(NOT(ISBLANK($G$182)),NOT(ISBLANK($G$183)))</formula>
    </cfRule>
  </conditionalFormatting>
  <conditionalFormatting sqref="G190:G192">
    <cfRule type="expression" dxfId="196" priority="76" stopIfTrue="1">
      <formula>OR(NOT(ISBLANK($G$190)),NOT(ISBLANK($G$191)),NOT(ISBLANK($G$192)))</formula>
    </cfRule>
  </conditionalFormatting>
  <conditionalFormatting sqref="J48:R48">
    <cfRule type="expression" dxfId="195" priority="860" stopIfTrue="1">
      <formula>OR(ISNUMBER($J$48),ISNUMBER($M$48),ISNUMBER($P$48),NOT(ISBLANK($S$85)))</formula>
    </cfRule>
  </conditionalFormatting>
  <conditionalFormatting sqref="J49:R49">
    <cfRule type="expression" dxfId="194" priority="861" stopIfTrue="1">
      <formula>OR(ISNUMBER($J$49),ISNUMBER($M$49),ISNUMBER($P$49),NOT(ISBLANK($S$85)))</formula>
    </cfRule>
  </conditionalFormatting>
  <conditionalFormatting sqref="J46">
    <cfRule type="expression" dxfId="193" priority="862" stopIfTrue="1">
      <formula>OR(NOT(ISBLANK(J46)),NOT(ISBLANK(M46)),NOT(ISBLANK(P46)),NOT(ISBLANK(S85)))</formula>
    </cfRule>
  </conditionalFormatting>
  <conditionalFormatting sqref="M46">
    <cfRule type="expression" dxfId="192" priority="863" stopIfTrue="1">
      <formula>OR(NOT(ISBLANK(M46)),NOT(ISBLANK(J46)),NOT(ISBLANK(P46)),NOT(ISBLANK(S85)))</formula>
    </cfRule>
  </conditionalFormatting>
  <conditionalFormatting sqref="P46">
    <cfRule type="expression" dxfId="191" priority="864" stopIfTrue="1">
      <formula>OR(NOT(ISBLANK(J46)),NOT(ISBLANK(M46)),NOT(ISBLANK(P46)),NOT(ISBLANK(S85)))</formula>
    </cfRule>
  </conditionalFormatting>
  <conditionalFormatting sqref="Q73:R73">
    <cfRule type="expression" dxfId="190" priority="865" stopIfTrue="1">
      <formula>OR(NOT(ISBLANK($Q$73)),NOT(ISBLANK($S$85)))</formula>
    </cfRule>
  </conditionalFormatting>
  <conditionalFormatting sqref="K73:L73">
    <cfRule type="expression" dxfId="189" priority="867" stopIfTrue="1">
      <formula>OR(ISNUMBER($K$73),NOT(ISBLANK($S$85)))</formula>
    </cfRule>
  </conditionalFormatting>
  <conditionalFormatting sqref="B200">
    <cfRule type="expression" dxfId="188" priority="868" stopIfTrue="1">
      <formula>G203=2</formula>
    </cfRule>
  </conditionalFormatting>
  <conditionalFormatting sqref="H210">
    <cfRule type="expression" dxfId="187" priority="69" stopIfTrue="1">
      <formula>NOT(ISBLANK($H$210))</formula>
    </cfRule>
    <cfRule type="expression" dxfId="186" priority="74" stopIfTrue="1">
      <formula>NOT(ISBLANK($G$206))</formula>
    </cfRule>
  </conditionalFormatting>
  <conditionalFormatting sqref="G206">
    <cfRule type="expression" dxfId="185" priority="70" stopIfTrue="1">
      <formula>NOT(ISBLANK($G$206))</formula>
    </cfRule>
  </conditionalFormatting>
  <conditionalFormatting sqref="N130:R130 N122:Q122 R123:U123">
    <cfRule type="expression" dxfId="184" priority="61" stopIfTrue="1">
      <formula>ISNUMBER(N122)</formula>
    </cfRule>
  </conditionalFormatting>
  <conditionalFormatting sqref="H207:K207">
    <cfRule type="expression" dxfId="183" priority="67" stopIfTrue="1">
      <formula>NOT(ISBLANK($H$207))</formula>
    </cfRule>
    <cfRule type="expression" dxfId="182" priority="68" stopIfTrue="1">
      <formula>NOT(ISBLANK($G$206))</formula>
    </cfRule>
  </conditionalFormatting>
  <conditionalFormatting sqref="G196:G197">
    <cfRule type="expression" dxfId="181" priority="58" stopIfTrue="1">
      <formula>OR(ISBLANK($J$194),NOT(ISBLANK($G$196)),NOT(ISBLANK($G$197)))</formula>
    </cfRule>
    <cfRule type="expression" dxfId="180" priority="59" stopIfTrue="1">
      <formula>NOT(ISBLANK($J$194))</formula>
    </cfRule>
  </conditionalFormatting>
  <conditionalFormatting sqref="G223:G225">
    <cfRule type="expression" dxfId="179" priority="57" stopIfTrue="1">
      <formula>OR(NOT(ISBLANK($G$223)),NOT(ISBLANK($G$224)),NOT(ISBLANK($G$225)))</formula>
    </cfRule>
  </conditionalFormatting>
  <conditionalFormatting sqref="M106:P106">
    <cfRule type="expression" dxfId="178" priority="54" stopIfTrue="1">
      <formula>ISNUMBER(M106)</formula>
    </cfRule>
    <cfRule type="expression" dxfId="177" priority="55" stopIfTrue="1">
      <formula>NOT(ISBLANK($G$106))</formula>
    </cfRule>
  </conditionalFormatting>
  <conditionalFormatting sqref="G94">
    <cfRule type="expression" dxfId="176" priority="1021" stopIfTrue="1">
      <formula>NOT(ISBLANK($G$94))</formula>
    </cfRule>
    <cfRule type="expression" dxfId="175" priority="1022" stopIfTrue="1">
      <formula>OR(NOT(ISBLANK($G$92)),NOT(ISBLANK($G$93)))</formula>
    </cfRule>
  </conditionalFormatting>
  <conditionalFormatting sqref="K143">
    <cfRule type="expression" dxfId="174" priority="42" stopIfTrue="1">
      <formula>NOT(ISBLANK($K$143))</formula>
    </cfRule>
  </conditionalFormatting>
  <conditionalFormatting sqref="N224:V224">
    <cfRule type="expression" dxfId="173" priority="31" stopIfTrue="1">
      <formula>NOT(ISBLANK($G$224))</formula>
    </cfRule>
  </conditionalFormatting>
  <conditionalFormatting sqref="P225:X225">
    <cfRule type="expression" dxfId="172" priority="30" stopIfTrue="1">
      <formula>NOT(ISBLANK($G$225))</formula>
    </cfRule>
  </conditionalFormatting>
  <conditionalFormatting sqref="U219:Y219">
    <cfRule type="expression" dxfId="171" priority="24" stopIfTrue="1">
      <formula>NOT(ISBLANK($U$219))</formula>
    </cfRule>
    <cfRule type="expression" dxfId="170" priority="25" stopIfTrue="1">
      <formula>NOT(ISBLANK($G$219))</formula>
    </cfRule>
  </conditionalFormatting>
  <conditionalFormatting sqref="G218:G220">
    <cfRule type="expression" dxfId="169" priority="26" stopIfTrue="1">
      <formula>OR(NOT(ISBLANK($G$218)),NOT(ISBLANK($G$219)),NOT(ISBLANK($G$220)))</formula>
    </cfRule>
  </conditionalFormatting>
  <conditionalFormatting sqref="M236">
    <cfRule type="expression" dxfId="168" priority="23" stopIfTrue="1">
      <formula>NOT(ISBLANK($M$236))</formula>
    </cfRule>
  </conditionalFormatting>
  <conditionalFormatting sqref="S212:U212">
    <cfRule type="expression" dxfId="167" priority="22" stopIfTrue="1">
      <formula>NOT(ISBLANK($S$212))</formula>
    </cfRule>
  </conditionalFormatting>
  <conditionalFormatting sqref="I252:Z252">
    <cfRule type="expression" dxfId="166" priority="21" stopIfTrue="1">
      <formula>NOT(ISBLANK($I$252))</formula>
    </cfRule>
  </conditionalFormatting>
  <conditionalFormatting sqref="I254:Z254">
    <cfRule type="expression" dxfId="165" priority="20" stopIfTrue="1">
      <formula>NOT(ISBLANK($I$254))</formula>
    </cfRule>
  </conditionalFormatting>
  <conditionalFormatting sqref="I256:Z256">
    <cfRule type="expression" dxfId="164" priority="19" stopIfTrue="1">
      <formula>NOT(ISBLANK($I$256))</formula>
    </cfRule>
  </conditionalFormatting>
  <conditionalFormatting sqref="Q247 T247">
    <cfRule type="expression" dxfId="163" priority="18" stopIfTrue="1">
      <formula>OR(NOT(ISBLANK($Q$247)),NOT(ISBLANK($T$247)))</formula>
    </cfRule>
  </conditionalFormatting>
  <conditionalFormatting sqref="T210:Z210">
    <cfRule type="expression" dxfId="162" priority="65" stopIfTrue="1">
      <formula>NOT(ISBLANK($T$210))</formula>
    </cfRule>
    <cfRule type="expression" dxfId="161" priority="66" stopIfTrue="1">
      <formula>NOT(ISBLANK($G$206))</formula>
    </cfRule>
  </conditionalFormatting>
  <conditionalFormatting sqref="J250:T250">
    <cfRule type="expression" dxfId="160" priority="15" stopIfTrue="1">
      <formula>NOT(ISBLANK($J$250))</formula>
    </cfRule>
  </conditionalFormatting>
  <conditionalFormatting sqref="J249:T249">
    <cfRule type="expression" dxfId="159" priority="14" stopIfTrue="1">
      <formula>NOT(ISBLANK($J$249))</formula>
    </cfRule>
  </conditionalFormatting>
  <conditionalFormatting sqref="E155">
    <cfRule type="expression" dxfId="158" priority="13" stopIfTrue="1">
      <formula>NOT(ISBLANK(L145))</formula>
    </cfRule>
  </conditionalFormatting>
  <conditionalFormatting sqref="F156:F157">
    <cfRule type="expression" dxfId="157" priority="12" stopIfTrue="1">
      <formula>NOT(ISBLANK($L$145))</formula>
    </cfRule>
  </conditionalFormatting>
  <conditionalFormatting sqref="T114:W114">
    <cfRule type="expression" dxfId="156" priority="2" stopIfTrue="1">
      <formula>ISNUMBER($T$114)</formula>
    </cfRule>
    <cfRule type="expression" dxfId="155" priority="11" stopIfTrue="1">
      <formula>NOT(ISBLANK(G113))</formula>
    </cfRule>
  </conditionalFormatting>
  <conditionalFormatting sqref="M113:P113">
    <cfRule type="expression" dxfId="154" priority="9" stopIfTrue="1">
      <formula>ISNUMBER($M$113)</formula>
    </cfRule>
    <cfRule type="expression" dxfId="153" priority="10" stopIfTrue="1">
      <formula>NOT(ISBLANK($G$113))</formula>
    </cfRule>
  </conditionalFormatting>
  <conditionalFormatting sqref="W113">
    <cfRule type="expression" dxfId="152" priority="7" stopIfTrue="1">
      <formula>OR(NOT(ISBLANK($W$113)),NOT(ISBLANK($T$114)))</formula>
    </cfRule>
    <cfRule type="expression" dxfId="151" priority="8" stopIfTrue="1">
      <formula>NOT(ISBLANK($G$113))</formula>
    </cfRule>
  </conditionalFormatting>
  <conditionalFormatting sqref="G100">
    <cfRule type="expression" dxfId="150" priority="6" stopIfTrue="1">
      <formula>NOT(ISBLANK($G100))</formula>
    </cfRule>
  </conditionalFormatting>
  <conditionalFormatting sqref="G106">
    <cfRule type="expression" dxfId="149" priority="5" stopIfTrue="1">
      <formula>NOT(ISBLANK($G$106))</formula>
    </cfRule>
  </conditionalFormatting>
  <conditionalFormatting sqref="G113">
    <cfRule type="expression" dxfId="148" priority="4" stopIfTrue="1">
      <formula>NOT(ISBLANK($G$113))</formula>
    </cfRule>
  </conditionalFormatting>
  <conditionalFormatting sqref="H135">
    <cfRule type="expression" dxfId="147" priority="1107" stopIfTrue="1">
      <formula>OR(NOT(ISBLANK($H134)),NOT(ISBLANK(H135)))</formula>
    </cfRule>
    <cfRule type="expression" dxfId="146" priority="1108" stopIfTrue="1">
      <formula>AND(ISBLANK(U62),ISBLANK(Y62))</formula>
    </cfRule>
  </conditionalFormatting>
  <conditionalFormatting sqref="G133">
    <cfRule type="expression" dxfId="145" priority="1109" stopIfTrue="1">
      <formula>AND(ISBLANK(U62),ISBLANK(Y62))</formula>
    </cfRule>
    <cfRule type="expression" dxfId="144" priority="1110" stopIfTrue="1">
      <formula>OR(NOT(ISBLANK(U62)),NOT(ISBLANK(Y62)),NOT(ISBLANK(H134)),NOT(ISBLANK(H135)))</formula>
    </cfRule>
  </conditionalFormatting>
  <conditionalFormatting sqref="H134">
    <cfRule type="expression" dxfId="143" priority="1111" stopIfTrue="1">
      <formula>OR(NOT(ISBLANK(H134)),NOT(ISBLANK(H135)))</formula>
    </cfRule>
    <cfRule type="expression" dxfId="142" priority="1112" stopIfTrue="1">
      <formula>AND(ISBLANK(U62),ISBLANK(Y62))</formula>
    </cfRule>
  </conditionalFormatting>
  <conditionalFormatting sqref="G200:G202">
    <cfRule type="expression" dxfId="141" priority="1">
      <formula>OR(NOT(ISBLANK($G$200)),NOT(ISBLANK($G$201)),NOT(ISBLANK($G$202)))</formula>
    </cfRule>
  </conditionalFormatting>
  <dataValidations xWindow="697" yWindow="214" count="128">
    <dataValidation type="custom" allowBlank="1" showInputMessage="1" showErrorMessage="1" errorTitle="More Than 1 Box Checked" error="Can only insert one custody paragraph." promptTitle="Custody" prompt="Check custody status." sqref="G199">
      <formula1>G213=1</formula1>
    </dataValidation>
    <dataValidation type="custom" allowBlank="1" showInputMessage="1" showErrorMessage="1" errorTitle="More Than 1 Box Checked" error="Can only insert one custody paragraph." promptTitle="Custody With 3rd Party:" prompt="Check (x) this box if child lives with a non-parent caretaker." sqref="G200">
      <formula1>OR(G203=0,G203=1)</formula1>
    </dataValidation>
    <dataValidation type="custom" allowBlank="1" showInputMessage="1" showErrorMessage="1" errorTitle="More Than 1 Box Checked" error="Can only insert one custody paragraph." promptTitle="Sole Custody To Mother:" prompt="Check (x) to award sole custody to Mother pursuant to a written Parenting Plan that will be attached." sqref="G201">
      <formula1>OR(G203=0,G203=1)</formula1>
    </dataValidation>
    <dataValidation type="custom" allowBlank="1" showInputMessage="1" showErrorMessage="1" errorTitle="More Than 1 Box Checked" error="Can only insert one custody paragraph." promptTitle="Joint Custody To Both Parents:" prompt="Check (x) this box to award joint custody to both parent pursuant to a written Parenting Plan that will be attached." sqref="G202">
      <formula1>OR(G203=0,G203=1)</formula1>
    </dataValidation>
    <dataValidation type="custom" allowBlank="1" showInputMessage="1" showErrorMessage="1" errorTitle="More Than 1 Box Checked" error="Can only insert one method of paternity establishment." promptTitle="Paternity By Court Order:" prompt="Check (x) if paternity established previously by court order." sqref="G190">
      <formula1>OR(G193=0,G193=1)</formula1>
    </dataValidation>
    <dataValidation type="custom" allowBlank="1" showInputMessage="1" showErrorMessage="1" errorTitle="More Than 1 Box Checked" error="Can only insert one method of paternity establishment." promptTitle="Acknowledgment Filed With Clerk:" prompt="Check (x) if paternity previously established by the filing of a voluntary acknowledgment with the Clerk of the Court." sqref="G191">
      <formula1>OR(G193=0,G193=1)</formula1>
    </dataValidation>
    <dataValidation type="custom" allowBlank="1" showInputMessage="1" showErrorMessage="1" errorTitle="More Than 1 Box Checked" error="Deviation must be either by agreement of parties or by the court but not both." sqref="G91">
      <formula1>AND(NOT(ISBLANK(G91)),ISBLANK(G92))</formula1>
    </dataValidation>
    <dataValidation type="custom" allowBlank="1" showInputMessage="1" showErrorMessage="1" errorTitle="More Than 1 Box Checked" error="Can only insert one presumptive father paragraph." promptTitle="Presumptive Father Waive Rights:" prompt="Check (x) if presumptive father will sign Order of Non-paternity and waive all rights to child." sqref="G197">
      <formula1>OR(G198=0,G198=1)</formula1>
    </dataValidation>
    <dataValidation type="custom" allowBlank="1" showInputMessage="1" showErrorMessage="1" errorTitle="More Than 1 Box Checked" error="Can only insert one presumptive father paragraph." promptTitle="Presumptive Father Not Father:" prompt="Check (x) this box if presumptive father is shown not to be the natural father by the evidence." sqref="G196">
      <formula1>OR(G198=0,G198=1)</formula1>
    </dataValidation>
    <dataValidation type="custom" allowBlank="1" showInputMessage="1" showErrorMessage="1" errorTitle="More Than 1 Box Checked" error="Can only insert one method of paternity establishment." promptTitle="Acknowledgment Filed With DES:" prompt="Check (x) if paternity previously established by the filing of a voluntary acknowledgment with DES." sqref="G192">
      <formula1>OR(G193=0,G193=1)</formula1>
    </dataValidation>
    <dataValidation type="custom" allowBlank="1" showInputMessage="1" showErrorMessage="1" errorTitle="More Than 1 Box Checked" error="Can only insert one type of hearing." promptTitle="Evidentiary Hearing:" prompt="Check (x) this box if evidence taken at an evidentiary hearing in support of this Paternity Judgment." sqref="G182">
      <formula1>OR(G184=0,G184=1)</formula1>
    </dataValidation>
    <dataValidation type="custom" allowBlank="1" showInputMessage="1" showErrorMessage="1" errorTitle="More Than 1 Box Checked" error="Can only insert one type of hearing." promptTitle="Stipulation:" prompt="Check (x) this box, to add signature lines to order for both parents if they agree and will sign." sqref="E171">
      <formula1>OR(G184=0,G184=1)</formula1>
    </dataValidation>
    <dataValidation type="custom" allowBlank="1" showInputMessage="1" showErrorMessage="1" errorTitle="More Than 1 Box Checked" error="Can only insert one type of hearing." promptTitle="A.R.S. §25-502(J):" prompt="Check (x) this box if findings will be made pursuant to A.R.S. §25-502(J) without a request for hearing." sqref="G183">
      <formula1>OR(G184=0,G184=1)</formula1>
    </dataValidation>
    <dataValidation type="custom" allowBlank="1" showInputMessage="1" showErrorMessage="1" errorTitle="Medical Insurance" error="Please check only Father or Mother to be responsbile." promptTitle="MotherTo Provide Insurance:" prompt="Check (x) this box if neither parent has insurance but you wish only  Mother to be responsible to provide it in the future." sqref="H135">
      <formula1>OR(H136=0,H136=1)</formula1>
    </dataValidation>
    <dataValidation type="custom" allowBlank="1" showInputMessage="1" showErrorMessage="1" errorTitle="Medical Insurance" error="Please check only Father or Mother to be responsible." promptTitle="Father To Provide Insurance" prompt="Check (x) this box if neither parent has insurance but you wish only  Father to be responsible to provide it in the future." sqref="H134">
      <formula1>OR(H136=0,H136=1)</formula1>
    </dataValidation>
    <dataValidation type="custom" allowBlank="1" showInputMessage="1" showErrorMessage="1" errorTitle="More Than 1 Box Checked" error="Can only insert one type of order." promptTitle="Amended IWO:" prompt="Check (x) this box if Amended IWO desired." sqref="G218">
      <formula1>OR(G221=0,G221=1)</formula1>
    </dataValidation>
    <dataValidation type="custom" allowBlank="1" showInputMessage="1" showErrorMessage="1" errorTitle="More Than 1 Box Checked" error="Can only insert one type of order." promptTitle="Lump Sum Payment:" prompt="Check (x) this box if one-time Lump Sum Payment Order desired" sqref="G219">
      <formula1>OR(G221=0,G221=1)</formula1>
    </dataValidation>
    <dataValidation type="custom" allowBlank="1" showInputMessage="1" showErrorMessage="1" errorTitle="More Than 1 Box Checked" error="Can only insert one custody paragraph." promptTitle="Termination IWO:" prompt="Check (x) this box if Termination of prior IWO desired." sqref="G220">
      <formula1>OR(G221=0,G221=1)</formula1>
    </dataValidation>
    <dataValidation type="custom" allowBlank="1" showInputMessage="1" showErrorMessage="1" errorTitle="More Than 1 Box Checked" error="Can only insert one custody paragraph." promptTitle="Issuer of IWO:" prompt="Make no entry if Court is issuing IWO." sqref="G222">
      <formula1>G261=1</formula1>
    </dataValidation>
    <dataValidation type="custom" allowBlank="1" showInputMessage="1" showErrorMessage="1" errorTitle="More Than 1 Box Checked" error="Can only insert one custody paragraph." promptTitle="Original IWO:" prompt="Make no entry if Original IWO desired." sqref="G217">
      <formula1>G245=1</formula1>
    </dataValidation>
    <dataValidation type="custom" allowBlank="1" showInputMessage="1" showErrorMessage="1" errorTitle="More Than 1 Box Checked" error="Can only insert one issuer." promptTitle="Child Support Enforcement Agency" prompt="Check (x) this box if IWO issued by CSE." sqref="G223">
      <formula1>OR(G226=0,G226=1)</formula1>
    </dataValidation>
    <dataValidation type="custom" allowBlank="1" showInputMessage="1" showErrorMessage="1" errorTitle="More Than 1 Box Checked" error="Can only insert one issuer." promptTitle="Attorney:" prompt="Check (x) this box if attorney is issuing IWO." sqref="G224">
      <formula1>OR(G226=0,G226=1)</formula1>
    </dataValidation>
    <dataValidation type="custom" allowBlank="1" showInputMessage="1" showErrorMessage="1" errorTitle="More Than 1 Box Checked" error="Can only insert one issuer." promptTitle="Private Individual/Entity:" prompt="Check (x) this box if Private Individual/Entity is issuing IWO." sqref="G225">
      <formula1>OR(G226=0,G226=1)</formula1>
    </dataValidation>
    <dataValidation allowBlank="1" showInputMessage="1" showErrorMessage="1" promptTitle="Alternate Start Date:" prompt="Enter alternate start date for Cash Medical Support Order to commence.  All dates entered will require payments to start on 1st day of month in month and year entered regardless of day of month entered." sqref="T210:Z210"/>
    <dataValidation allowBlank="1" showInputMessage="1" showErrorMessage="1" promptTitle="Atlas Number:" prompt="Enter Atlas Number." sqref="I242:Q242"/>
    <dataValidation allowBlank="1" showInputMessage="1" showErrorMessage="1" promptTitle="Social Security No.:" prompt="Insert Social Security Number WITHOUT dashes--the computer will format the dashes.  If dashes are entered, the SSN will not appear on the Order of Assignment." sqref="I235:Q235"/>
    <dataValidation allowBlank="1" showInputMessage="1" showErrorMessage="1" promptTitle="Alternative PTD Month:" prompt="Input Month &amp; Day ONLY of alternate Presumptive Termination Date here with format of &quot;mm-d&quot; or &quot;mm/d&quot;.  Also will need to put year in next box." sqref="J245:N246"/>
    <dataValidation allowBlank="1" showInputMessage="1" showErrorMessage="1" promptTitle="Alternate PTD Year:" prompt="Input 4-digit year (&quot;20YY&quot;) of alternate Presumptive Termination Date here." sqref="O245:P246"/>
    <dataValidation allowBlank="1" showInputMessage="1" showErrorMessage="1" promptTitle="Payment Start Date:" prompt="Enter the date (#-#-##) or (#/#/##) that all monthly payments will start unless above date is correct." sqref="N130:R130"/>
    <dataValidation allowBlank="1" showInputMessage="1" showErrorMessage="1" promptTitle="Presumptive Father's Name:" prompt="List the name of any presumptive father that was married to the mother within 10 months before birth or 10 months after marriage terminated.  A.R.S. §25-814." sqref="J194:R194"/>
    <dataValidation allowBlank="1" showInputMessage="1" showErrorMessage="1" promptTitle="Natural Father:" prompt="Check (x) this box only if Respondent listed below is not the natural father.  Then insert correct name of Father to right of this box." sqref="I187"/>
    <dataValidation allowBlank="1" showInputMessage="1" showErrorMessage="1" promptTitle="Natural Father's Name:" prompt="Type natural father's name here ONLY if Respondent listed below is not the natural father." sqref="J187:P187"/>
    <dataValidation allowBlank="1" showInputMessage="1" showErrorMessage="1" promptTitle="Natural Father's Date of Birth:" prompt="List Natural Father's date of birth here." sqref="U188:Z188"/>
    <dataValidation allowBlank="1" showInputMessage="1" showErrorMessage="1" promptTitle="Mother's Date of Birth:" prompt="List Mother's date of birth here." sqref="Q185:V185"/>
    <dataValidation allowBlank="1" showInputMessage="1" showErrorMessage="1" promptTitle="Type of Judgment" prompt="If Establishment Judgment (Post-Paternity) desired check this box.  " sqref="G179"/>
    <dataValidation allowBlank="1" showInputMessage="1" showErrorMessage="1" promptTitle="Paternity" prompt="Check how paternity will be or was established." sqref="G189"/>
    <dataValidation allowBlank="1" showInputMessage="1" showErrorMessage="1" promptTitle="Presumptive Father" prompt="Check status of presumptive father." sqref="G195"/>
    <dataValidation allowBlank="1" showInputMessage="1" showErrorMessage="1" promptTitle="Additional Findings &amp; Orders" prompt="Type any additional findings or orders here.  For clarity preface narrative with &quot;The Court Further Finds&quot; or &quot;It Is Further Ordered&quot;." sqref="E170:Z170"/>
    <dataValidation allowBlank="1" showInputMessage="1" showErrorMessage="1" promptTitle="Attorneys Signatures:" prompt="Check (x) this box if either party is represented by an attorney and stipulation is reached requiring attorneys' signatures." sqref="I171"/>
    <dataValidation allowBlank="1" showInputMessage="1" showErrorMessage="1" promptTitle="Customized Tax Table" prompt="If &quot;Customize Tax Deduction Table&quot; box is checked insert either &quot;Father&quot; or &quot;Mother&quot; only in each box as desired.  Standard grid above indicates available deductions through a child's 18th year.  Be careful not to insert deduction where none is available." sqref="L160:Z165"/>
    <dataValidation allowBlank="1" showInputMessage="1" showErrorMessage="1" promptTitle="Customized Tax Deductions:" prompt="Check this box only if you want to customize tax deduction table.  If any child's age, and not date of birth, is listed, you are required to customize the tax table." sqref="L145"/>
    <dataValidation allowBlank="1" showInputMessage="1" showErrorMessage="1" promptTitle="Cash Medical Support Order:" prompt="Check (x) here to require noncustodian to pay a cash medical support amount if the child is not covered under an insurance plan within 90 days per A.R.S. § 25-320(L)." sqref="G206"/>
    <dataValidation allowBlank="1" showInputMessage="1" showErrorMessage="1" promptTitle="Cash Medical Support" prompt="Enter amount of monthly cash medical support order." sqref="H208:K208"/>
    <dataValidation allowBlank="1" showInputMessage="1" showErrorMessage="1" promptTitle="Alternate Medical Support Start:" prompt="Check (x) if desire to enter alternate start date for cash medical supoprt order." sqref="H210"/>
    <dataValidation allowBlank="1" showInputMessage="1" showErrorMessage="1" promptTitle="Default Start Date:" prompt="If no date is entered below, default start date will be 1st day of month following this Order." sqref="N129:R129"/>
    <dataValidation allowBlank="1" showInputMessage="1" showErrorMessage="1" promptTitle="Uninsured Medical Expenses:" prompt="Enter a different percentage for Father only if you desire to change the guideline percentage shown.  Mother's percentage will adjust automatically." sqref="G137:H137"/>
    <dataValidation allowBlank="1" showInputMessage="1" showErrorMessage="1" promptTitle="Transportation Costs:" prompt="Enter a different percentage for Father only if you desire to change the guideline percentage shown.  Mother's percentage will adjust automatically." sqref="G139:H139"/>
    <dataValidation allowBlank="1" showInputMessage="1" showErrorMessage="1" promptTitle="Additional Findings &amp; Orders:" prompt="Enter any additional findings or orders here.  For clarity preface narrative with &quot;The Court Further Finds&quot; or &quot;It Is Further Ordered&quot;." sqref="E169:Z169"/>
    <dataValidation allowBlank="1" showInputMessage="1" showErrorMessage="1" promptTitle="Alternate Date:" prompt="Enter a date the Order will be signed ONLY if it will not be signed today." sqref="J173:O173"/>
    <dataValidation allowBlank="1" showInputMessage="1" showErrorMessage="1" promptTitle="Cash Medical Support Amount:" prompt="Enter amount of monthly cash medical support order." sqref="H207:K207"/>
    <dataValidation allowBlank="1" showInputMessage="1" showErrorMessage="1" promptTitle="Conditions of Tax Deduction" prompt="Check (x) here if non-custodian is allowed to take tax deductions regardless if arrearages exist." sqref="K143"/>
    <dataValidation allowBlank="1" showInputMessage="1" showErrorMessage="1" promptTitle="Conditions of Tax Deduction" prompt="Allow this box to reamain checked (x) if Order should allow the non-custodian to take the tax deductions only if all support payments and court-ordered arrearage payments have been made by December 31." sqref="K142"/>
    <dataValidation allowBlank="1" showInputMessage="1" showErrorMessage="1" promptTitle="Obligor's Name For IWO:" prompt="Reformat the Obligor's name for entry into the Federal IWO approved format: (Last, First, Middle)." sqref="I234:Q234 I239:Q239"/>
    <dataValidation type="custom" errorStyle="warning" allowBlank="1" showInputMessage="1" showErrorMessage="1" errorTitle="Past-Due Cash Medical Support" error="You may wish to enter a Judgment for Past-Due Cash Medical Support in the &quot;Other Findings &amp; Orders&quot; paragraph above before entering a monthly payment?" promptTitle="Past-Due Cash Medical Support:" prompt="Enter a monthly amount payable towards any past-due cash medical support.  If you use this box, you may wish to reduce the past-due amount to a judgment using the &quot;Other Findings &amp; Orders&quot; paragraph above." sqref="S212">
      <formula1>ISBLANK($S$212)</formula1>
    </dataValidation>
    <dataValidation allowBlank="1" showInputMessage="1" showErrorMessage="1" promptTitle="Work State or Tribe Different:" prompt="Check (x) this box only if the employee/obligor works in a State or for a Tribe that is different from the State or Tribe that issued this order." sqref="M236"/>
    <dataValidation allowBlank="1" showInputMessage="1" showErrorMessage="1" promptTitle="Additional Information:" prompt="Add any additional information needed for page 3 of the IWO here.  Text should not exceed space in box or it may not print." sqref="I256:Z256"/>
    <dataValidation allowBlank="1" showInputMessage="1" showErrorMessage="1" promptTitle="Liability:" prompt="Enter any additional language needed under &quot;Liability&quot; paragraph  under page 2 of the IWO.  Text should not exceed space in box or it may not print." sqref="I252:Z252"/>
    <dataValidation allowBlank="1" showInputMessage="1" showErrorMessage="1" promptTitle="Anti-discrimination:" prompt="Enter any additional language needed for the &quot;Anti-discrimination&quot; paragraph on page 2 of the IWO.  Text should not exceed space in box or it may not print." sqref="I254:Z254"/>
    <dataValidation type="decimal" allowBlank="1" showInputMessage="1" showErrorMessage="1" errorTitle="Parenting Time Adjustment" error="Parenting Time Adjustment Percentage Must Be Between 0 and 48.6%." promptTitle="Parenting Time Alternative:" prompt="Enter Parenting Time percentage here ONLY if noncustodian will not incur costs during parenting time and a reduced percentage is desired.  Percentage under Table A must be between 0% and 48.6%.  Percentage under Table B must be between 27.5% and 33.1%." sqref="Q73:R73">
      <formula1>0</formula1>
      <formula2>0.486</formula2>
    </dataValidation>
    <dataValidation allowBlank="1" showInputMessage="1" showErrorMessage="1" promptTitle="Past Support Prior To Filing:" prompt="Check (x) this box if you wish to enter the Past Support Judgment for up to three years before the filing of the current petition when the parties lived apart pursuant to A.R.S. §25-320(C) or §25-809(B)." sqref="H108"/>
    <dataValidation allowBlank="1" showInputMessage="1" showErrorMessage="1" promptTitle="Past Support Amount:" prompt="Enter total amount of Past Support Judgment here.  Additional findings or explanation can be entered in &quot;Other Findings &amp; Orders&quot; box at end of this section if desired." sqref="M106:P106"/>
    <dataValidation allowBlank="1" showInputMessage="1" showErrorMessage="1" promptTitle="Past Support Judgment:" prompt="Check (x) this box only if Past Support Judgment is desired pursuant to A.R.S. §25-320(B) or §25-809(B)." sqref="G106"/>
    <dataValidation allowBlank="1" showInputMessage="1" showErrorMessage="1" promptTitle="Past Support From Filing:" prompt="Check (x) this box if you wish to enter the Past Support Judgment from the date of filing of the current petition until today pursuant to A.R.S. §25-320(B) or §25-809(B)." sqref="H107"/>
    <dataValidation allowBlank="1" showInputMessage="1" showErrorMessage="1" promptTitle="Print Clean-up:" prompt="Check (x) this box to remove all remaining blue shading in Worksheet for printing purposes." sqref="S85"/>
    <dataValidation allowBlank="1" showInputMessage="1" showErrorMessage="1" promptTitle="Arrearage Start Date:" prompt="Enter the start date of the arrearage calculation period." sqref="M101:R101"/>
    <dataValidation allowBlank="1" showInputMessage="1" showErrorMessage="1" promptTitle="Principal Arrearage Amount:" prompt="Enter the total principal amount of child support arrearage for the calculated period." sqref="Q100:T100"/>
    <dataValidation allowBlank="1" showInputMessage="1" showErrorMessage="1" promptTitle="Arrearage Judgment:" prompt="Check (x) this box if you wish to enter a child support arrearage judgment.  Otherwise leave blank.  Also leave blank if no new arrearage judgment will be entered but a monthly payment on prior arrearages will be entered below." sqref="G100"/>
    <dataValidation type="custom" errorStyle="warning" allowBlank="1" showInputMessage="1" showErrorMessage="1" errorTitle="Future Interest?" error="Are you sure you want to enter interest for a period beyond today?" promptTitle="Interest Calculation Date:" prompt="Enter date thru which interest on arrearage judgment is calculated." sqref="U102:Z102">
      <formula1>$U$102&lt;=TODAY()</formula1>
    </dataValidation>
    <dataValidation allowBlank="1" showInputMessage="1" showErrorMessage="1" promptTitle="Reasons For Deviation" prompt="Input any additional reasons supporting a deviation in this space.  Typing can exceed the box somewhat." sqref="P95:AA97"/>
    <dataValidation type="decimal" operator="greaterThanOrEqual" allowBlank="1" showInputMessage="1" showErrorMessage="1" error="Negative Amount Entered--Enter Without A Minus Sign." promptTitle="Extraordinary Child Expenses:" prompt="Enter amount of Extraordinary Child Expenses paid by Mother here." sqref="Y67:AA67">
      <formula1>0</formula1>
    </dataValidation>
    <dataValidation type="custom" operator="equal" allowBlank="1" showInputMessage="1" showErrorMessage="1" errorTitle="Parenting Time Table A or B?" error="You Must Enter Either &quot;A&quot; or &quot;B&quot;--There Are No Other Parenting Time Tables." promptTitle="Parenting Time Table" prompt="If You Wish To Apply Parenting Time Table B, Insert &quot;B&quot; Here--Otherwise, Table A Will Be Used In Calculation." sqref="I72">
      <formula1>OR(I72="a",I72="b")</formula1>
    </dataValidation>
    <dataValidation type="decimal" operator="lessThanOrEqual" allowBlank="1" showInputMessage="1" showErrorMessage="1" errorTitle="Adjustment For Child Over 12" error="Guidelines Don't Allow Adjustment In Excess of 10%." promptTitle="Adjustment Of 10%:" prompt="No need to enter percentage unless you want to reduce below 10%." sqref="N60:O60">
      <formula1>10</formula1>
    </dataValidation>
    <dataValidation type="decimal" operator="greaterThanOrEqual" allowBlank="1" showInputMessage="1" showErrorMessage="1" errorTitle="Medical &amp; Dental Insurance Paid:" error="Negative Amount Entered--Enter Without A Minus Sign." promptTitle="Insurance Responsibility:" prompt="If neither parent has medical insurance, enter &quot;0&quot; in Father's and/or Mother's column to require he/she/they are required to provide medical insurance in support order." sqref="Y62:AA62 U62:W62">
      <formula1>0</formula1>
    </dataValidation>
    <dataValidation type="decimal" allowBlank="1" showInputMessage="1" showErrorMessage="1" errorTitle="Federal Tax Credit %" error="You Have Entered A Federal Tax Credit Greater Than 25%." promptTitle="Federal Tax Credit Allowed:" prompt="Insert % if less than 25% ONLY if proven by the parent paying the childcare costs." sqref="R65:S65">
      <formula1>0</formula1>
      <formula2>0.25</formula2>
    </dataValidation>
    <dataValidation type="decimal" operator="greaterThanOrEqual" allowBlank="1" showInputMessage="1" showErrorMessage="1" errorTitle="Mother's Gross Monthly Income" error="Enter Valid Monthly, Annual or Hourly Income" prompt="Mother's Hourly Income Will Be Multiplied By 2080 (40 x 52) And Divided By 12." sqref="P49:R49">
      <formula1>0</formula1>
    </dataValidation>
    <dataValidation type="decimal" operator="greaterThanOrEqual" allowBlank="1" showInputMessage="1" showErrorMessage="1" errorTitle="Father's Gross Monthly Income" error="Enter Valid Monthly, Annual or Hourly Income" prompt="Father's Hourly Income Will Be Multiplied By 2080 (40 x 52) And Divided By 12." sqref="P48:R48">
      <formula1>0</formula1>
    </dataValidation>
    <dataValidation type="decimal" errorStyle="warning" operator="lessThan" allowBlank="1" showInputMessage="1" showErrorMessage="1" errorTitle="Spousal Maintenance Paid" error="Is Father receiving spousal maintenance?  If not, enter number with a minus sign." promptTitle="Spousal Maintenance:" prompt="Enter positive amount of Spousal Maintenance Father is actually receiving or negative amount he is actually paying. " sqref="U50:W50">
      <formula1>0.001</formula1>
    </dataValidation>
    <dataValidation type="decimal" errorStyle="warning" operator="greaterThan" allowBlank="1" showInputMessage="1" showErrorMessage="1" errorTitle="Spousal Maintenance" error="Is Mother paying spousal maintenance?  If not, enter number without minus sign." promptTitle="Spousal Maintenance:" prompt="Enter positive amount of Spousal Maintenance Mother is actually receiving or negative amount she is actually paying. " sqref="Y50:AA50">
      <formula1>-0.001</formula1>
    </dataValidation>
    <dataValidation type="decimal" operator="lessThanOrEqual" allowBlank="1" showInputMessage="1" showErrorMessage="1" errorTitle="Court Ordered Child Support" error="Enter number with a minus sign!" promptTitle="Court Ordered Child Support" sqref="X51">
      <formula1>0</formula1>
    </dataValidation>
    <dataValidation type="whole" operator="greaterThanOrEqual" allowBlank="1" showInputMessage="1" showErrorMessage="1" errorTitle="Custodian of Child With Order" error="Enter The Number of Children in Mother's Custody Subject To A Court Order In Another Relationship." promptTitle="Mother's Other Custodial Child:" prompt="Enter number of child(ren) of other relationships covered by a Court Order for whom Mother is the custodial parent." sqref="I52">
      <formula1>0</formula1>
    </dataValidation>
    <dataValidation type="whole" operator="greaterThanOrEqual" allowBlank="1" showInputMessage="1" showErrorMessage="1" errorTitle="Support of Children Not Ordered" error="Enter Discretionary Number of Father's Children He Is Supporting But Not By Court Order." promptTitle="Support of Children Not Ordered:" prompt="May enter number of Father's other natural or adopted children NOT covered by a court order. " sqref="G54">
      <formula1>0</formula1>
    </dataValidation>
    <dataValidation type="whole" operator="greaterThanOrEqual" allowBlank="1" showInputMessage="1" showErrorMessage="1" errorTitle="Support of Children Not Ordered" error="Enter Discretionary Number of Mother's Children She Is Supporting But Not By Court Order." promptTitle="Support of Children Not Ordered:" prompt="May enter number of Mother's other natural or adopted children NOT covered by a court order. " sqref="G55">
      <formula1>0</formula1>
    </dataValidation>
    <dataValidation type="decimal" operator="greaterThanOrEqual" allowBlank="1" showInputMessage="1" showErrorMessage="1" errorTitle="Father's Gross Monthly Income" error="Enter Valid Monthly, Annual or Hourly Income" prompt="Insert Father's Gross Monthly Income.&#10;" sqref="J48:L48">
      <formula1>0</formula1>
    </dataValidation>
    <dataValidation type="decimal" operator="greaterThanOrEqual" allowBlank="1" showInputMessage="1" showErrorMessage="1" errorTitle="Father's Gross Monthly Income" error="Enter Valid Monthly, Annual or Hourly Income" prompt="Father's Annual Income Will Be Dvided By 12." sqref="M48:O48">
      <formula1>0</formula1>
    </dataValidation>
    <dataValidation type="decimal" operator="greaterThanOrEqual" allowBlank="1" showInputMessage="1" showErrorMessage="1" errorTitle="Mother's Gross Monthly Income" error="Enter Valid Monthly, Annual or Hourly Income" prompt="Mother's Annual Income Will Be Divided By 12." sqref="M49:O49">
      <formula1>0</formula1>
    </dataValidation>
    <dataValidation type="decimal" operator="greaterThanOrEqual" allowBlank="1" showInputMessage="1" showErrorMessage="1" errorTitle="Mother's Gross Monthly Income" error="Enter Valid Monthly, Annual or Hourly Income" prompt="Insert Mother's Gross Monthly Income.&#10;" sqref="J49">
      <formula1>0</formula1>
    </dataValidation>
    <dataValidation allowBlank="1" showInputMessage="1" showErrorMessage="1" errorTitle="Primary Custodian:" error="Check Only One Box." promptTitle="Primary Custodian:" prompt="Check Only One." sqref="J46 P46 M46"/>
    <dataValidation allowBlank="1" showInputMessage="1" showErrorMessage="1" promptTitle="Other Child Support Ordered:" prompt="Enter the amount of child support from another relationship that Mother is court ordered to pay and is actually paying." sqref="Y51:AA51"/>
    <dataValidation type="whole" errorStyle="warning" allowBlank="1" showInputMessage="1" showErrorMessage="1" errorTitle="Actual Grade" error="Must Enter The Current Grade of the Youngest Child As A Number Between 1 and 12." promptTitle="Youngest Child's Current Grade" prompt="Enter actual grade (1 to 12) Youngest Child is in now (or will start in September) ONLY if different than calculated grade.  For this purpose consider a child entering the next grade on June 1 of each year." sqref="X24:Z24">
      <formula1>0</formula1>
      <formula2>12</formula2>
    </dataValidation>
    <dataValidation type="whole" operator="greaterThanOrEqual" allowBlank="1" showInputMessage="1" showErrorMessage="1" errorTitle="Custodian of Child With Order" error="Enter The Number of Children in Father's Custody Subject To A Court Order In Another Relationship." promptTitle="Father's Other Custodial Child:" prompt="Enter number of child(ren) of other relationships covered by a Court Order for whom Father is the custodial parent." sqref="G52">
      <formula1>0</formula1>
    </dataValidation>
    <dataValidation allowBlank="1" showInputMessage="1" showErrorMessage="1" promptTitle="Caption For Past Time Period:" prompt="Optional:  Insert &quot;Calendar Year 2009&quot; or &quot;From 1-1-10 to 6-30-10&quot; or similar designation for worksheet calculation covering a specific past time period.  Leave blank for current calculation." sqref="N28:W28"/>
    <dataValidation allowBlank="1" showInputMessage="1" showErrorMessage="1" promptTitle="Date of Calculations:" prompt="Optional:  Worksheet will show today's date unless alternate date is entered here." sqref="N26:W26"/>
    <dataValidation type="date" errorStyle="warning" allowBlank="1" showInputMessage="1" showErrorMessage="1" errorTitle="Child's DOB Correct?" error="Date entered does not place child between 0 and 19 years of age." promptTitle="Child's Date of Birth:" prompt="Insert child's date of birth using &quot;-&quot; or &quot;/&quot; between numbers." sqref="M18:R23">
      <formula1>TODAY()-(365.25*19)</formula1>
      <formula2>TODAY()</formula2>
    </dataValidation>
    <dataValidation allowBlank="1" showInputMessage="1" showErrorMessage="1" promptTitle="Child's Name:" prompt="Input child's name next to correct birthday." sqref="F18:L23"/>
    <dataValidation allowBlank="1" showInputMessage="1" showErrorMessage="1" promptTitle="Petitioner Father or Mother?" prompt="Check (x) if Petitioner is the Father.  If Petitioner is Mother leave blank.  Must correctly identify the Petitioner as Father or Mother for Orders to populate correctly." sqref="T12"/>
    <dataValidation allowBlank="1" showInputMessage="1" showErrorMessage="1" promptTitle="IV-D Case?" prompt="Check (x) for &quot;State of Arizona&quot; caption only if filed as a IV-D case by the State." sqref="T10"/>
    <dataValidation allowBlank="1" showInputMessage="1" showErrorMessage="1" promptTitle="Case Number:" prompt="Insert Case Number.  If this comment box obscures text, hold cursor on this box with left mouse click and drag to convenient spot at right where all future comments will appear." sqref="F10:J10"/>
    <dataValidation allowBlank="1" showInputMessage="1" showErrorMessage="1" promptTitle="Petitioner:" prompt="Insert Petitioner's name as it appears in court records." sqref="F12:N12"/>
    <dataValidation allowBlank="1" showInputMessage="1" showErrorMessage="1" promptTitle="Respondent:" prompt="Insert Respondent's name as it appears in court records." sqref="F14:N14"/>
    <dataValidation allowBlank="1" showInputMessage="1" showErrorMessage="1" promptTitle="Parenting Time Days" prompt="Insert number of days each year that the noncustodial parent has Parenting Time with the child(ren).  Table A must be between 0 and 182 days.  Table B must be between 143 and 182 days." sqref="K73:L73"/>
    <dataValidation allowBlank="1" showInputMessage="1" showErrorMessage="1" promptTitle="Paternity Expense Amount:" prompt="Enter total of any pregnancy, childbirth, genetic testing and similar costs in a Paternity action." sqref="M113:P113"/>
    <dataValidation type="custom" errorStyle="warning" allowBlank="1" showInputMessage="1" showErrorMessage="1" errorTitle="Child Support Arrearage" error="No Child Support Arrearage Judgment is entered in this order." promptTitle="Child Support Arrearage:" prompt="Enter amount of monthly payment to be applied to child support arrears." sqref="R119:U119">
      <formula1>ISNUMBER($N$119)</formula1>
    </dataValidation>
    <dataValidation type="custom" errorStyle="warning" allowBlank="1" showInputMessage="1" showErrorMessage="1" errorTitle="Past Child Support Judgment" error="No Past Child Support Judgment was entered in this Order." promptTitle="Past Child Support Judgment:" prompt="Enter amount of monthly payment to be applied towards Past Child Support Judgment." sqref="R120:U120">
      <formula1>ISNUMBER($N$120)</formula1>
    </dataValidation>
    <dataValidation errorStyle="warning" allowBlank="1" showInputMessage="1" showErrorMessage="1" promptTitle="Current Spousal Maintenance:" prompt="Enter amount of current spousal maintenance payment ONLY if  number listed is incorrect." sqref="N122:Q122"/>
    <dataValidation type="custom" errorStyle="warning" allowBlank="1" showInputMessage="1" showErrorMessage="1" errorTitle="Excessive Rounding?" error="You have rounded the support amount more than $10 for the Guidelines amount." promptTitle="Arrearage End Date:" prompt="Enter the end date of the arrearage calculation period." sqref="V101:AA101">
      <formula1>OR($S$90&gt;$H$90-10,$S$90&lt;$H$90+10)</formula1>
    </dataValidation>
    <dataValidation allowBlank="1" showInputMessage="1" showErrorMessage="1" promptTitle="Child[ren] Age 12 of Over:" prompt="No need to enter number if default is correct." sqref="G60"/>
    <dataValidation type="decimal" errorStyle="warning" allowBlank="1" showInputMessage="1" showErrorMessage="1" errorTitle="Excessive Rounding?" error="You have rounded the support amount more than $10 from the Guidelines amount without formal deviation findings." promptTitle="Non-Deviation Rounding" prompt="If you desire to adjust the calculated support amount a de minimus amount to a round number without formal deviation findings, enter the rounded amount here." sqref="S90:V90">
      <formula1>$H$90-10</formula1>
      <formula2>$H$90+10</formula2>
    </dataValidation>
    <dataValidation allowBlank="1" showInputMessage="1" showErrorMessage="1" promptTitle="Deviation By Agreement:" prompt="Check (x) this box if the parties agree to a deviation from the child support amount determined by the guidelines AND the Court will approve it." sqref="G92"/>
    <dataValidation allowBlank="1" showInputMessage="1" showErrorMessage="1" promptTitle="Deviation By Court:" prompt="Check (x) this box to approve a deviation that is in the best interest of the child(ren) when the parties don't specifically agree to it." sqref="G93"/>
    <dataValidation allowBlank="1" showInputMessage="1" showErrorMessage="1" promptTitle="Additional Reasons To Deviate:" prompt="Optional:  State any specific reasons that the deviation agreed to by the parties or approved by the court is appropriate." sqref="G94:AA94"/>
    <dataValidation allowBlank="1" showInputMessage="1" showErrorMessage="1" promptTitle="Support After Deviation:" prompt="Enter the amount of monthly child support to be entered after the deviation." sqref="H95:J95"/>
    <dataValidation allowBlank="1" showInputMessage="1" showErrorMessage="1" promptTitle="Paternity Expenses:" prompt="Check (x) this box if a Judgment for costs of pregnancy, childbirth, genetic testing or similar expenses will be entered." sqref="G113"/>
    <dataValidation allowBlank="1" showInputMessage="1" showErrorMessage="1" promptTitle="Mother To Pay Paternity Expenses" prompt="Check (x) this box ONLY if Mother will be ordered to pay Paternity Expenses." sqref="W113"/>
    <dataValidation allowBlank="1" showInputMessage="1" showErrorMessage="1" promptTitle="Child's Age:" prompt="No need to enter age if DOB is entered to left." sqref="S18:T23"/>
    <dataValidation allowBlank="1" showInputMessage="1" showErrorMessage="1" promptTitle="Other Child Support Ordered:" prompt="Enter the amount of child support from another relationship that Father is court ordered to pay and is actually paying." sqref="U51:W51"/>
    <dataValidation allowBlank="1" showInputMessage="1" showErrorMessage="1" promptTitle="Child[ren] Subject to Childcare:" prompt="Enter number here ONLY if default is NOT correct." sqref="I63"/>
    <dataValidation allowBlank="1" showInputMessage="1" showErrorMessage="1" promptTitle="Chilldcare Costs:" prompt="Enter amount of childcare costs paid by Father here." sqref="U64:W64"/>
    <dataValidation type="decimal" operator="greaterThanOrEqual" allowBlank="1" showInputMessage="1" showErrorMessage="1" errorTitle="Monthly Childcare Costs" error="Negative Amount Entered--Enter Without A Minus Sign." promptTitle="Childcare Costs:" prompt="Enter amount of childcare costs paid by Mother here." sqref="Y64:AA64">
      <formula1>0</formula1>
    </dataValidation>
    <dataValidation type="decimal" operator="greaterThanOrEqual" allowBlank="1" showInputMessage="1" showErrorMessage="1" error="Negative Amount Entered--Enter Without A Minus Sign." promptTitle="Extra Education Expenses:" prompt="Enter amount of Extra Education Expenses paid by Father here." sqref="U66:W66">
      <formula1>0</formula1>
    </dataValidation>
    <dataValidation type="decimal" operator="greaterThanOrEqual" allowBlank="1" showInputMessage="1" showErrorMessage="1" error="Negative Amount Entered--Enter Without A Minus Sign." promptTitle="Extra Education Expenses:" prompt="Enter amount of Extra Education Expenses paid by Mother here." sqref="Y66:AA66">
      <formula1>0</formula1>
    </dataValidation>
    <dataValidation type="decimal" operator="greaterThanOrEqual" allowBlank="1" showInputMessage="1" showErrorMessage="1" error="Negative Amount Entered--Enter Without A Minus Sign." promptTitle="Extraordinary Child Expenses:" prompt="Enter amount of Extraordinary Child Expenses paid by Father here." sqref="U67:W67">
      <formula1>0</formula1>
    </dataValidation>
    <dataValidation allowBlank="1" showInputMessage="1" showErrorMessage="1" promptTitle="Monthly Arrears Actually Paid:" prompt="Enter amount of court ordered arrears of child support for children of other relationships or Spousal Maintenance if actually paid." sqref="L78:M78"/>
    <dataValidation allowBlank="1" showInputMessage="1" showErrorMessage="1" promptTitle="Self Support Reserve Test:" prompt="Check (x) this box if you do NOT want to reduce support in accordance with the Self Support Reserve Test." sqref="L80"/>
    <dataValidation allowBlank="1" showInputMessage="1" showErrorMessage="1" promptTitle="Interest On Arrearage Judgment:" prompt="Enter amount of interest on the child support arrearage judgment created above." sqref="M102:P102"/>
    <dataValidation allowBlank="1" showInputMessage="1" showErrorMessage="1" promptTitle="Past Due Spousal Maintenance:" prompt="Enter amount of monthly payment desired on past due spousal maintenance." sqref="R123:U123"/>
    <dataValidation allowBlank="1" showInputMessage="1" showErrorMessage="1" promptTitle="Paternity Expenses:" prompt="Enter monthly payment, if any, on Paternity Expenses Judgment.  This will ordered to be paid direct, rather than through Order of Assignment." sqref="T114:W114"/>
    <dataValidation type="decimal" allowBlank="1" showInputMessage="1" showErrorMessage="1" errorTitle="Deduction Too High!" error="Deduction Cannot Exceed That Amount Provided By A Simplified Application of the Guidelines" promptTitle="Children Not Covered By Order:" prompt="No need to enter an amount unless you desire a deduction less than the simplified application of the Guidelines." sqref="O54:Q54">
      <formula1>0</formula1>
      <formula2>-AH55</formula2>
    </dataValidation>
    <dataValidation type="decimal" allowBlank="1" showInputMessage="1" showErrorMessage="1" errorTitle="Deduction Too High!" error="Deduction Cannot Exceed The Amount Provided By A Simplified Application of the Guidelines" promptTitle="Children Not Covered By Order:" prompt="No need to enter an amount unless you desire a deduction less than the simplified application of the Guidelines." sqref="O55:Q55">
      <formula1>0</formula1>
      <formula2>-AH56</formula2>
    </dataValidation>
  </dataValidations>
  <pageMargins left="0.75" right="0" top="0.75" bottom="0.5" header="0.5" footer="0.5"/>
  <pageSetup scale="90" orientation="portrait" r:id="rId1"/>
  <headerFooter alignWithMargins="0"/>
</worksheet>
</file>

<file path=xl/worksheets/sheet10.xml><?xml version="1.0" encoding="utf-8"?>
<worksheet xmlns="http://schemas.openxmlformats.org/spreadsheetml/2006/main" xmlns:r="http://schemas.openxmlformats.org/officeDocument/2006/relationships">
  <dimension ref="A2:G389"/>
  <sheetViews>
    <sheetView workbookViewId="0">
      <selection activeCell="B29" sqref="B29"/>
    </sheetView>
  </sheetViews>
  <sheetFormatPr defaultRowHeight="12.75"/>
  <cols>
    <col min="1" max="7" width="11.7109375" style="796" customWidth="1"/>
    <col min="8" max="16384" width="9.140625" style="796"/>
  </cols>
  <sheetData>
    <row r="2" spans="1:7" ht="20.25" thickBot="1">
      <c r="A2" s="1927" t="s">
        <v>576</v>
      </c>
      <c r="B2" s="1928"/>
      <c r="C2" s="1928"/>
      <c r="D2" s="1928"/>
      <c r="E2" s="1928"/>
      <c r="F2" s="1928"/>
      <c r="G2" s="1929"/>
    </row>
    <row r="3" spans="1:7" ht="48" thickBot="1">
      <c r="A3" s="792" t="s">
        <v>12</v>
      </c>
      <c r="B3" s="793" t="s">
        <v>267</v>
      </c>
      <c r="C3" s="794" t="s">
        <v>268</v>
      </c>
      <c r="D3" s="794" t="s">
        <v>269</v>
      </c>
      <c r="E3" s="794" t="s">
        <v>270</v>
      </c>
      <c r="F3" s="794" t="s">
        <v>271</v>
      </c>
      <c r="G3" s="795" t="s">
        <v>272</v>
      </c>
    </row>
    <row r="4" spans="1:7">
      <c r="A4" s="790">
        <v>750</v>
      </c>
      <c r="B4" s="789">
        <v>173.74586486400003</v>
      </c>
      <c r="C4" s="789">
        <v>254.55614659200003</v>
      </c>
      <c r="D4" s="789">
        <v>302.758626456</v>
      </c>
      <c r="E4" s="789">
        <v>312.22296181236601</v>
      </c>
      <c r="F4" s="789">
        <v>371.99952432648723</v>
      </c>
      <c r="G4" s="789">
        <v>404.36348294289161</v>
      </c>
    </row>
    <row r="5" spans="1:7">
      <c r="A5" s="790">
        <v>800</v>
      </c>
      <c r="B5" s="789">
        <v>185.23247891993401</v>
      </c>
      <c r="C5" s="789">
        <v>271.34650757971417</v>
      </c>
      <c r="D5" s="789">
        <v>322.68950460381046</v>
      </c>
      <c r="E5" s="789">
        <v>360.44417664245623</v>
      </c>
      <c r="F5" s="789">
        <v>396.48859430670194</v>
      </c>
      <c r="G5" s="789">
        <v>430.98310201138497</v>
      </c>
    </row>
    <row r="6" spans="1:7">
      <c r="A6" s="790">
        <v>850</v>
      </c>
      <c r="B6" s="789">
        <v>196.12336962833399</v>
      </c>
      <c r="C6" s="789">
        <v>287.06775662941413</v>
      </c>
      <c r="D6" s="789">
        <v>341.15180680453545</v>
      </c>
      <c r="E6" s="789">
        <v>381.06656820066598</v>
      </c>
      <c r="F6" s="789">
        <v>419.17322502073273</v>
      </c>
      <c r="G6" s="789">
        <v>455.64129559753644</v>
      </c>
    </row>
    <row r="7" spans="1:7">
      <c r="A7" s="790">
        <v>900</v>
      </c>
      <c r="B7" s="789">
        <v>205.855733111934</v>
      </c>
      <c r="C7" s="789">
        <v>301.11664521571413</v>
      </c>
      <c r="D7" s="789">
        <v>357.65016681681044</v>
      </c>
      <c r="E7" s="789">
        <v>399.49523633437718</v>
      </c>
      <c r="F7" s="789">
        <v>439.444759967815</v>
      </c>
      <c r="G7" s="789">
        <v>477.67645408501488</v>
      </c>
    </row>
    <row r="8" spans="1:7">
      <c r="A8" s="790">
        <v>950</v>
      </c>
      <c r="B8" s="789">
        <v>215.58809659553401</v>
      </c>
      <c r="C8" s="789">
        <v>315.16553380201412</v>
      </c>
      <c r="D8" s="789">
        <v>374.14852682908543</v>
      </c>
      <c r="E8" s="789">
        <v>417.92390446808838</v>
      </c>
      <c r="F8" s="789">
        <v>459.71629491489733</v>
      </c>
      <c r="G8" s="789">
        <v>499.71161257249332</v>
      </c>
    </row>
    <row r="9" spans="1:7">
      <c r="A9" s="790">
        <v>1000</v>
      </c>
      <c r="B9" s="789">
        <v>225.32046007913399</v>
      </c>
      <c r="C9" s="789">
        <v>329.21442238831412</v>
      </c>
      <c r="D9" s="789">
        <v>390.64688684136047</v>
      </c>
      <c r="E9" s="789">
        <v>436.35257260179958</v>
      </c>
      <c r="F9" s="789">
        <v>479.98782986197961</v>
      </c>
      <c r="G9" s="789">
        <v>521.74677105997182</v>
      </c>
    </row>
    <row r="10" spans="1:7">
      <c r="A10" s="790">
        <v>1050</v>
      </c>
      <c r="B10" s="789">
        <v>235.05282356273401</v>
      </c>
      <c r="C10" s="789">
        <v>343.26331097461411</v>
      </c>
      <c r="D10" s="789">
        <v>407.14524685363546</v>
      </c>
      <c r="E10" s="789">
        <v>454.78124073551072</v>
      </c>
      <c r="F10" s="789">
        <v>500.25936480906194</v>
      </c>
      <c r="G10" s="789">
        <v>543.78192954745032</v>
      </c>
    </row>
    <row r="11" spans="1:7">
      <c r="A11" s="790">
        <v>1100</v>
      </c>
      <c r="B11" s="789">
        <v>244.78518704633399</v>
      </c>
      <c r="C11" s="789">
        <v>357.31219956091417</v>
      </c>
      <c r="D11" s="789">
        <v>423.64360686591044</v>
      </c>
      <c r="E11" s="789">
        <v>473.20990886922192</v>
      </c>
      <c r="F11" s="789">
        <v>520.53089975614421</v>
      </c>
      <c r="G11" s="789">
        <v>565.8170880349287</v>
      </c>
    </row>
    <row r="12" spans="1:7">
      <c r="A12" s="790">
        <v>1150</v>
      </c>
      <c r="B12" s="789">
        <v>254.517550529934</v>
      </c>
      <c r="C12" s="789">
        <v>371.36108814721416</v>
      </c>
      <c r="D12" s="789">
        <v>440.14196687818549</v>
      </c>
      <c r="E12" s="789">
        <v>491.63857700293306</v>
      </c>
      <c r="F12" s="789">
        <v>540.80243470322648</v>
      </c>
      <c r="G12" s="789">
        <v>587.8522465224072</v>
      </c>
    </row>
    <row r="13" spans="1:7">
      <c r="A13" s="790">
        <v>1200</v>
      </c>
      <c r="B13" s="789">
        <v>264.24991401353401</v>
      </c>
      <c r="C13" s="789">
        <v>385.40997673351416</v>
      </c>
      <c r="D13" s="789">
        <v>456.64032689046047</v>
      </c>
      <c r="E13" s="789">
        <v>510.06724513664426</v>
      </c>
      <c r="F13" s="789">
        <v>561.07396965030887</v>
      </c>
      <c r="G13" s="789">
        <v>609.8874050098857</v>
      </c>
    </row>
    <row r="14" spans="1:7">
      <c r="A14" s="790">
        <v>1250</v>
      </c>
      <c r="B14" s="789">
        <v>273.98227749713396</v>
      </c>
      <c r="C14" s="789">
        <v>399.45886531981409</v>
      </c>
      <c r="D14" s="789">
        <v>473.13868690273546</v>
      </c>
      <c r="E14" s="789">
        <v>528.49591327035546</v>
      </c>
      <c r="F14" s="789">
        <v>581.34550459739103</v>
      </c>
      <c r="G14" s="789">
        <v>631.92256349736408</v>
      </c>
    </row>
    <row r="15" spans="1:7">
      <c r="A15" s="790">
        <v>1300</v>
      </c>
      <c r="B15" s="789">
        <v>283.71464098073398</v>
      </c>
      <c r="C15" s="789">
        <v>413.5077539061142</v>
      </c>
      <c r="D15" s="789">
        <v>489.6370469150105</v>
      </c>
      <c r="E15" s="789">
        <v>546.92458140406666</v>
      </c>
      <c r="F15" s="789">
        <v>601.61703954447341</v>
      </c>
      <c r="G15" s="789">
        <v>653.95772198484258</v>
      </c>
    </row>
    <row r="16" spans="1:7">
      <c r="A16" s="790">
        <v>1350</v>
      </c>
      <c r="B16" s="789">
        <v>293.44700446433399</v>
      </c>
      <c r="C16" s="789">
        <v>427.55664249241414</v>
      </c>
      <c r="D16" s="789">
        <v>506.13540692728543</v>
      </c>
      <c r="E16" s="789">
        <v>565.35324953777774</v>
      </c>
      <c r="F16" s="789">
        <v>621.88857449155569</v>
      </c>
      <c r="G16" s="789">
        <v>675.99288047232096</v>
      </c>
    </row>
    <row r="17" spans="1:7">
      <c r="A17" s="790">
        <v>1400</v>
      </c>
      <c r="B17" s="789">
        <v>303.179367947934</v>
      </c>
      <c r="C17" s="789">
        <v>441.60553107871419</v>
      </c>
      <c r="D17" s="789">
        <v>522.63376693956047</v>
      </c>
      <c r="E17" s="789">
        <v>583.78191767148905</v>
      </c>
      <c r="F17" s="789">
        <v>642.16010943863807</v>
      </c>
      <c r="G17" s="789">
        <v>698.02803895979946</v>
      </c>
    </row>
    <row r="18" spans="1:7">
      <c r="A18" s="790">
        <v>1450</v>
      </c>
      <c r="B18" s="789">
        <v>312.91173143153401</v>
      </c>
      <c r="C18" s="789">
        <v>455.65441966501402</v>
      </c>
      <c r="D18" s="789">
        <v>539.1321269518354</v>
      </c>
      <c r="E18" s="789">
        <v>602.21058580520014</v>
      </c>
      <c r="F18" s="789">
        <v>662.43164438572035</v>
      </c>
      <c r="G18" s="789">
        <v>720.06319744727784</v>
      </c>
    </row>
    <row r="19" spans="1:7">
      <c r="A19" s="790">
        <v>1500</v>
      </c>
      <c r="B19" s="789">
        <v>322.64409491513396</v>
      </c>
      <c r="C19" s="789">
        <v>469.70330825131407</v>
      </c>
      <c r="D19" s="789">
        <v>555.63048696411033</v>
      </c>
      <c r="E19" s="789">
        <v>620.63925393891122</v>
      </c>
      <c r="F19" s="789">
        <v>682.70317933280251</v>
      </c>
      <c r="G19" s="789">
        <v>742.09835593475623</v>
      </c>
    </row>
    <row r="20" spans="1:7">
      <c r="A20" s="790">
        <v>1550</v>
      </c>
      <c r="B20" s="789">
        <v>332.37645839873397</v>
      </c>
      <c r="C20" s="789">
        <v>483.75219683761418</v>
      </c>
      <c r="D20" s="789">
        <v>572.12884697638538</v>
      </c>
      <c r="E20" s="789">
        <v>639.06792207262242</v>
      </c>
      <c r="F20" s="789">
        <v>702.97471427988489</v>
      </c>
      <c r="G20" s="789">
        <v>764.13351442223484</v>
      </c>
    </row>
    <row r="21" spans="1:7">
      <c r="A21" s="790">
        <v>1600</v>
      </c>
      <c r="B21" s="789">
        <v>342.10882188233393</v>
      </c>
      <c r="C21" s="789">
        <v>497.80108542391412</v>
      </c>
      <c r="D21" s="789">
        <v>588.62720698866042</v>
      </c>
      <c r="E21" s="789">
        <v>657.49659020633362</v>
      </c>
      <c r="F21" s="789">
        <v>723.24624922696717</v>
      </c>
      <c r="G21" s="789">
        <v>786.16867290971322</v>
      </c>
    </row>
    <row r="22" spans="1:7">
      <c r="A22" s="790">
        <v>1650</v>
      </c>
      <c r="B22" s="789">
        <v>351.25743133793395</v>
      </c>
      <c r="C22" s="789">
        <v>511.00731176121411</v>
      </c>
      <c r="D22" s="789">
        <v>604.13598372768547</v>
      </c>
      <c r="E22" s="789">
        <v>674.81989382382449</v>
      </c>
      <c r="F22" s="789">
        <v>742.30188320620709</v>
      </c>
      <c r="G22" s="789">
        <v>806.88214704514712</v>
      </c>
    </row>
    <row r="23" spans="1:7">
      <c r="A23" s="790">
        <v>1700</v>
      </c>
      <c r="B23" s="789">
        <v>360.377465421534</v>
      </c>
      <c r="C23" s="789">
        <v>524.17228889751414</v>
      </c>
      <c r="D23" s="789">
        <v>619.59631932746038</v>
      </c>
      <c r="E23" s="789">
        <v>692.08908868877324</v>
      </c>
      <c r="F23" s="789">
        <v>761.29799755765077</v>
      </c>
      <c r="G23" s="789">
        <v>827.53092334516634</v>
      </c>
    </row>
    <row r="24" spans="1:7">
      <c r="A24" s="790">
        <v>1750</v>
      </c>
      <c r="B24" s="789">
        <v>369.49749950513399</v>
      </c>
      <c r="C24" s="789">
        <v>537.3372660338141</v>
      </c>
      <c r="D24" s="789">
        <v>635.0566549272354</v>
      </c>
      <c r="E24" s="789">
        <v>709.35828355372189</v>
      </c>
      <c r="F24" s="789">
        <v>780.29411190909423</v>
      </c>
      <c r="G24" s="789">
        <v>848.17969964518534</v>
      </c>
    </row>
    <row r="25" spans="1:7">
      <c r="A25" s="790">
        <v>1800</v>
      </c>
      <c r="B25" s="789">
        <v>378.61753358873398</v>
      </c>
      <c r="C25" s="789">
        <v>550.50224317011418</v>
      </c>
      <c r="D25" s="789">
        <v>650.51699052701042</v>
      </c>
      <c r="E25" s="789">
        <v>726.62747841867065</v>
      </c>
      <c r="F25" s="789">
        <v>799.29022626053779</v>
      </c>
      <c r="G25" s="789">
        <v>868.82847594520467</v>
      </c>
    </row>
    <row r="26" spans="1:7">
      <c r="A26" s="790">
        <v>1850</v>
      </c>
      <c r="B26" s="789">
        <v>387.73756767233397</v>
      </c>
      <c r="C26" s="789">
        <v>563.66722030641415</v>
      </c>
      <c r="D26" s="789">
        <v>665.97732612678544</v>
      </c>
      <c r="E26" s="789">
        <v>743.89667328361929</v>
      </c>
      <c r="F26" s="789">
        <v>818.28634061198136</v>
      </c>
      <c r="G26" s="789">
        <v>889.47725224522367</v>
      </c>
    </row>
    <row r="27" spans="1:7">
      <c r="A27" s="790">
        <v>1900</v>
      </c>
      <c r="B27" s="789">
        <v>396.85760175593396</v>
      </c>
      <c r="C27" s="789">
        <v>576.83219744271423</v>
      </c>
      <c r="D27" s="789">
        <v>681.43766172656046</v>
      </c>
      <c r="E27" s="789">
        <v>761.16586814856805</v>
      </c>
      <c r="F27" s="789">
        <v>837.28245496342493</v>
      </c>
      <c r="G27" s="789">
        <v>910.12602854524289</v>
      </c>
    </row>
    <row r="28" spans="1:7">
      <c r="A28" s="790">
        <v>1950</v>
      </c>
      <c r="B28" s="789">
        <v>405.97763583953395</v>
      </c>
      <c r="C28" s="789">
        <v>589.9971745790142</v>
      </c>
      <c r="D28" s="789">
        <v>696.89799732633537</v>
      </c>
      <c r="E28" s="789">
        <v>778.43506301351658</v>
      </c>
      <c r="F28" s="789">
        <v>856.27856931486849</v>
      </c>
      <c r="G28" s="789">
        <v>930.774804845262</v>
      </c>
    </row>
    <row r="29" spans="1:7">
      <c r="A29" s="790">
        <v>2000</v>
      </c>
      <c r="B29" s="789">
        <v>415.09766992313394</v>
      </c>
      <c r="C29" s="789">
        <v>603.16215171531417</v>
      </c>
      <c r="D29" s="789">
        <v>712.35833292611039</v>
      </c>
      <c r="E29" s="789">
        <v>795.70425787846523</v>
      </c>
      <c r="F29" s="789">
        <v>875.27468366631194</v>
      </c>
      <c r="G29" s="789">
        <v>951.4235811452811</v>
      </c>
    </row>
    <row r="30" spans="1:7">
      <c r="A30" s="790">
        <v>2050</v>
      </c>
      <c r="B30" s="789">
        <v>423.98653237250107</v>
      </c>
      <c r="C30" s="789">
        <v>615.91469237379806</v>
      </c>
      <c r="D30" s="789">
        <v>727.25117805222965</v>
      </c>
      <c r="E30" s="789">
        <v>812.33956588434035</v>
      </c>
      <c r="F30" s="789">
        <v>893.57352247277458</v>
      </c>
      <c r="G30" s="789">
        <v>971.31441892790599</v>
      </c>
    </row>
    <row r="31" spans="1:7">
      <c r="A31" s="790">
        <v>2100</v>
      </c>
      <c r="B31" s="789">
        <v>432.84423341874287</v>
      </c>
      <c r="C31" s="789">
        <v>628.61831126843492</v>
      </c>
      <c r="D31" s="789">
        <v>742.08241154584482</v>
      </c>
      <c r="E31" s="789">
        <v>828.90605369670857</v>
      </c>
      <c r="F31" s="789">
        <v>911.79665906637956</v>
      </c>
      <c r="G31" s="789">
        <v>991.12296840515467</v>
      </c>
    </row>
    <row r="32" spans="1:7">
      <c r="A32" s="790">
        <v>2150</v>
      </c>
      <c r="B32" s="789">
        <v>441.66379068440602</v>
      </c>
      <c r="C32" s="789">
        <v>641.26722476613622</v>
      </c>
      <c r="D32" s="789">
        <v>756.8497775287891</v>
      </c>
      <c r="E32" s="789">
        <v>845.4012014996573</v>
      </c>
      <c r="F32" s="789">
        <v>929.94132164962332</v>
      </c>
      <c r="G32" s="789">
        <v>1010.8462166331406</v>
      </c>
    </row>
    <row r="33" spans="1:7">
      <c r="A33" s="790">
        <v>2200</v>
      </c>
      <c r="B33" s="789">
        <v>450.48334795006917</v>
      </c>
      <c r="C33" s="789">
        <v>653.91613826383752</v>
      </c>
      <c r="D33" s="789">
        <v>771.61714351173339</v>
      </c>
      <c r="E33" s="789">
        <v>861.89634930260604</v>
      </c>
      <c r="F33" s="789">
        <v>948.08598423286685</v>
      </c>
      <c r="G33" s="789">
        <v>1030.5694648611263</v>
      </c>
    </row>
    <row r="34" spans="1:7">
      <c r="A34" s="790">
        <v>2250</v>
      </c>
      <c r="B34" s="789">
        <v>459.30290521573232</v>
      </c>
      <c r="C34" s="789">
        <v>666.56505176153883</v>
      </c>
      <c r="D34" s="789">
        <v>786.38450949467756</v>
      </c>
      <c r="E34" s="789">
        <v>878.39149710555478</v>
      </c>
      <c r="F34" s="789">
        <v>966.23064681611049</v>
      </c>
      <c r="G34" s="789">
        <v>1050.2927130891121</v>
      </c>
    </row>
    <row r="35" spans="1:7">
      <c r="A35" s="790">
        <v>2300</v>
      </c>
      <c r="B35" s="789">
        <v>468.12246248139547</v>
      </c>
      <c r="C35" s="789">
        <v>679.21396525924013</v>
      </c>
      <c r="D35" s="789">
        <v>801.15187547762196</v>
      </c>
      <c r="E35" s="789">
        <v>894.88664490850363</v>
      </c>
      <c r="F35" s="789">
        <v>984.37530939935414</v>
      </c>
      <c r="G35" s="789">
        <v>1070.0159613170979</v>
      </c>
    </row>
    <row r="36" spans="1:7">
      <c r="A36" s="790">
        <v>2350</v>
      </c>
      <c r="B36" s="789">
        <v>476.94201974705868</v>
      </c>
      <c r="C36" s="789">
        <v>691.86287875694143</v>
      </c>
      <c r="D36" s="789">
        <v>815.91924146056624</v>
      </c>
      <c r="E36" s="789">
        <v>911.38179271145236</v>
      </c>
      <c r="F36" s="789">
        <v>1002.5199719825979</v>
      </c>
      <c r="G36" s="789">
        <v>1089.7392095450839</v>
      </c>
    </row>
    <row r="37" spans="1:7">
      <c r="A37" s="790">
        <v>2400</v>
      </c>
      <c r="B37" s="789">
        <v>485.76157701272183</v>
      </c>
      <c r="C37" s="789">
        <v>704.51179225464273</v>
      </c>
      <c r="D37" s="789">
        <v>830.68660744351052</v>
      </c>
      <c r="E37" s="789">
        <v>927.8769405144011</v>
      </c>
      <c r="F37" s="789">
        <v>1020.6646345658414</v>
      </c>
      <c r="G37" s="789">
        <v>1109.4624577730697</v>
      </c>
    </row>
    <row r="38" spans="1:7">
      <c r="A38" s="790">
        <v>2450</v>
      </c>
      <c r="B38" s="789">
        <v>494.58113427838498</v>
      </c>
      <c r="C38" s="789">
        <v>717.16070575234392</v>
      </c>
      <c r="D38" s="789">
        <v>845.4539734264547</v>
      </c>
      <c r="E38" s="789">
        <v>944.37208831734984</v>
      </c>
      <c r="F38" s="789">
        <v>1038.8092971490851</v>
      </c>
      <c r="G38" s="789">
        <v>1129.1857060010555</v>
      </c>
    </row>
    <row r="39" spans="1:7">
      <c r="A39" s="790">
        <v>2500</v>
      </c>
      <c r="B39" s="789">
        <v>503.40069154404813</v>
      </c>
      <c r="C39" s="789">
        <v>729.80961925004533</v>
      </c>
      <c r="D39" s="789">
        <v>860.22133940939898</v>
      </c>
      <c r="E39" s="789">
        <v>960.86723612029868</v>
      </c>
      <c r="F39" s="789">
        <v>1056.9539597323287</v>
      </c>
      <c r="G39" s="789">
        <v>1148.9089542290412</v>
      </c>
    </row>
    <row r="40" spans="1:7">
      <c r="A40" s="790">
        <v>2550</v>
      </c>
      <c r="B40" s="789">
        <v>512.22024880971139</v>
      </c>
      <c r="C40" s="789">
        <v>742.45853274774663</v>
      </c>
      <c r="D40" s="789">
        <v>874.98870539234338</v>
      </c>
      <c r="E40" s="789">
        <v>977.36238392324742</v>
      </c>
      <c r="F40" s="789">
        <v>1075.0986223155724</v>
      </c>
      <c r="G40" s="789">
        <v>1168.6322024570272</v>
      </c>
    </row>
    <row r="41" spans="1:7">
      <c r="A41" s="790">
        <v>2600</v>
      </c>
      <c r="B41" s="789">
        <v>521.03980607537449</v>
      </c>
      <c r="C41" s="789">
        <v>755.10744624544793</v>
      </c>
      <c r="D41" s="789">
        <v>889.75607137528755</v>
      </c>
      <c r="E41" s="789">
        <v>993.85753172619616</v>
      </c>
      <c r="F41" s="789">
        <v>1093.243284898816</v>
      </c>
      <c r="G41" s="789">
        <v>1188.355450685013</v>
      </c>
    </row>
    <row r="42" spans="1:7">
      <c r="A42" s="790">
        <v>2650</v>
      </c>
      <c r="B42" s="789">
        <v>529.85936334103758</v>
      </c>
      <c r="C42" s="789">
        <v>767.75635974314912</v>
      </c>
      <c r="D42" s="789">
        <v>904.52343735823183</v>
      </c>
      <c r="E42" s="789">
        <v>1010.3526795291449</v>
      </c>
      <c r="F42" s="789">
        <v>1111.3879474820596</v>
      </c>
      <c r="G42" s="789">
        <v>1208.0786989129988</v>
      </c>
    </row>
    <row r="43" spans="1:7">
      <c r="A43" s="790">
        <v>2700</v>
      </c>
      <c r="B43" s="789">
        <v>538.67892060670079</v>
      </c>
      <c r="C43" s="789">
        <v>780.40527324085042</v>
      </c>
      <c r="D43" s="789">
        <v>919.29080334117612</v>
      </c>
      <c r="E43" s="789">
        <v>1026.8478273320936</v>
      </c>
      <c r="F43" s="789">
        <v>1129.5326100653033</v>
      </c>
      <c r="G43" s="789">
        <v>1227.8019471409846</v>
      </c>
    </row>
    <row r="44" spans="1:7">
      <c r="A44" s="790">
        <v>2750</v>
      </c>
      <c r="B44" s="789">
        <v>547.49847787236388</v>
      </c>
      <c r="C44" s="789">
        <v>793.05418673855161</v>
      </c>
      <c r="D44" s="789">
        <v>934.05816932412029</v>
      </c>
      <c r="E44" s="789">
        <v>1043.3429751350423</v>
      </c>
      <c r="F44" s="789">
        <v>1147.6772726485467</v>
      </c>
      <c r="G44" s="789">
        <v>1247.5251953689703</v>
      </c>
    </row>
    <row r="45" spans="1:7">
      <c r="A45" s="790">
        <v>2800</v>
      </c>
      <c r="B45" s="789">
        <v>556.31803513802708</v>
      </c>
      <c r="C45" s="789">
        <v>805.70310023625302</v>
      </c>
      <c r="D45" s="789">
        <v>948.82553530706468</v>
      </c>
      <c r="E45" s="789">
        <v>1059.8381229379911</v>
      </c>
      <c r="F45" s="789">
        <v>1165.8219352317906</v>
      </c>
      <c r="G45" s="789">
        <v>1267.2484435969563</v>
      </c>
    </row>
    <row r="46" spans="1:7">
      <c r="A46" s="790">
        <v>2850</v>
      </c>
      <c r="B46" s="789">
        <v>565.13759240369029</v>
      </c>
      <c r="C46" s="789">
        <v>818.35201373395432</v>
      </c>
      <c r="D46" s="789">
        <v>963.59290129000897</v>
      </c>
      <c r="E46" s="789">
        <v>1076.33327074094</v>
      </c>
      <c r="F46" s="789">
        <v>1183.9665978150342</v>
      </c>
      <c r="G46" s="789">
        <v>1286.9716918249421</v>
      </c>
    </row>
    <row r="47" spans="1:7">
      <c r="A47" s="790">
        <v>2900</v>
      </c>
      <c r="B47" s="789">
        <v>573.95714966935338</v>
      </c>
      <c r="C47" s="789">
        <v>831.00092723165562</v>
      </c>
      <c r="D47" s="789">
        <v>978.36026727295325</v>
      </c>
      <c r="E47" s="789">
        <v>1092.8284185438886</v>
      </c>
      <c r="F47" s="789">
        <v>1202.1112603982779</v>
      </c>
      <c r="G47" s="789">
        <v>1306.6949400529279</v>
      </c>
    </row>
    <row r="48" spans="1:7">
      <c r="A48" s="790">
        <v>2950</v>
      </c>
      <c r="B48" s="789">
        <v>582.77670693501659</v>
      </c>
      <c r="C48" s="789">
        <v>843.64984072935704</v>
      </c>
      <c r="D48" s="789">
        <v>993.12763325589754</v>
      </c>
      <c r="E48" s="789">
        <v>1109.3235663468377</v>
      </c>
      <c r="F48" s="789">
        <v>1220.2559229815215</v>
      </c>
      <c r="G48" s="789">
        <v>1326.4181882809139</v>
      </c>
    </row>
    <row r="49" spans="1:7">
      <c r="A49" s="790">
        <v>3000</v>
      </c>
      <c r="B49" s="789">
        <v>591.7099327861954</v>
      </c>
      <c r="C49" s="789">
        <v>856.57784463634346</v>
      </c>
      <c r="D49" s="789">
        <v>1008.3816664063412</v>
      </c>
      <c r="E49" s="789">
        <v>1126.3623213758831</v>
      </c>
      <c r="F49" s="789">
        <v>1238.9985535134717</v>
      </c>
      <c r="G49" s="789">
        <v>1346.7914276691436</v>
      </c>
    </row>
    <row r="50" spans="1:7">
      <c r="A50" s="790">
        <v>3050</v>
      </c>
      <c r="B50" s="789">
        <v>600.68130507738931</v>
      </c>
      <c r="C50" s="789">
        <v>869.59950947443292</v>
      </c>
      <c r="D50" s="789">
        <v>1023.7990219015479</v>
      </c>
      <c r="E50" s="789">
        <v>1143.583507464029</v>
      </c>
      <c r="F50" s="789">
        <v>1257.9418582104322</v>
      </c>
      <c r="G50" s="789">
        <v>1367.3827998747397</v>
      </c>
    </row>
    <row r="51" spans="1:7">
      <c r="A51" s="790">
        <v>3100</v>
      </c>
      <c r="B51" s="789">
        <v>609.65267736858323</v>
      </c>
      <c r="C51" s="789">
        <v>882.62117431252238</v>
      </c>
      <c r="D51" s="789">
        <v>1039.2163773967548</v>
      </c>
      <c r="E51" s="789">
        <v>1160.804693552175</v>
      </c>
      <c r="F51" s="789">
        <v>1276.8851629073929</v>
      </c>
      <c r="G51" s="789">
        <v>1387.9741720803358</v>
      </c>
    </row>
    <row r="52" spans="1:7">
      <c r="A52" s="790">
        <v>3150</v>
      </c>
      <c r="B52" s="789">
        <v>618.62404965977714</v>
      </c>
      <c r="C52" s="789">
        <v>895.64283915061196</v>
      </c>
      <c r="D52" s="789">
        <v>1054.6337328919615</v>
      </c>
      <c r="E52" s="789">
        <v>1178.0258796403209</v>
      </c>
      <c r="F52" s="789">
        <v>1295.8284676043534</v>
      </c>
      <c r="G52" s="789">
        <v>1408.565544285932</v>
      </c>
    </row>
    <row r="53" spans="1:7">
      <c r="A53" s="790">
        <v>3200</v>
      </c>
      <c r="B53" s="789">
        <v>627.59542195097117</v>
      </c>
      <c r="C53" s="789">
        <v>908.66450398870154</v>
      </c>
      <c r="D53" s="789">
        <v>1070.0510883871684</v>
      </c>
      <c r="E53" s="789">
        <v>1195.2470657284671</v>
      </c>
      <c r="F53" s="789">
        <v>1314.7717723013143</v>
      </c>
      <c r="G53" s="789">
        <v>1429.1569164915284</v>
      </c>
    </row>
    <row r="54" spans="1:7">
      <c r="A54" s="790">
        <v>3250</v>
      </c>
      <c r="B54" s="789">
        <v>636.56679424216509</v>
      </c>
      <c r="C54" s="789">
        <v>921.68616882679112</v>
      </c>
      <c r="D54" s="789">
        <v>1085.4684438823751</v>
      </c>
      <c r="E54" s="789">
        <v>1212.468251816613</v>
      </c>
      <c r="F54" s="789">
        <v>1333.7150769982748</v>
      </c>
      <c r="G54" s="789">
        <v>1449.7482886971245</v>
      </c>
    </row>
    <row r="55" spans="1:7">
      <c r="A55" s="790">
        <v>3300</v>
      </c>
      <c r="B55" s="789">
        <v>645.538166533359</v>
      </c>
      <c r="C55" s="789">
        <v>934.70783366488058</v>
      </c>
      <c r="D55" s="789">
        <v>1100.8857993775821</v>
      </c>
      <c r="E55" s="789">
        <v>1229.689437904759</v>
      </c>
      <c r="F55" s="789">
        <v>1352.6583816952354</v>
      </c>
      <c r="G55" s="789">
        <v>1470.3396609027207</v>
      </c>
    </row>
    <row r="56" spans="1:7">
      <c r="A56" s="790">
        <v>3350</v>
      </c>
      <c r="B56" s="789">
        <v>654.50953882455303</v>
      </c>
      <c r="C56" s="789">
        <v>947.72949850297027</v>
      </c>
      <c r="D56" s="789">
        <v>1116.303154872789</v>
      </c>
      <c r="E56" s="789">
        <v>1246.9106239929051</v>
      </c>
      <c r="F56" s="789">
        <v>1371.6016863921961</v>
      </c>
      <c r="G56" s="789">
        <v>1490.931033108317</v>
      </c>
    </row>
    <row r="57" spans="1:7">
      <c r="A57" s="790">
        <v>3400</v>
      </c>
      <c r="B57" s="789">
        <v>663.48091111574695</v>
      </c>
      <c r="C57" s="789">
        <v>960.75116334105974</v>
      </c>
      <c r="D57" s="789">
        <v>1131.7205103679958</v>
      </c>
      <c r="E57" s="789">
        <v>1264.1318100810513</v>
      </c>
      <c r="F57" s="789">
        <v>1390.5449910891566</v>
      </c>
      <c r="G57" s="789">
        <v>1511.5224053139132</v>
      </c>
    </row>
    <row r="58" spans="1:7">
      <c r="A58" s="790">
        <v>3450</v>
      </c>
      <c r="B58" s="789">
        <v>672.45228340694086</v>
      </c>
      <c r="C58" s="789">
        <v>973.77282817914931</v>
      </c>
      <c r="D58" s="789">
        <v>1147.1378658632025</v>
      </c>
      <c r="E58" s="789">
        <v>1281.3529961691972</v>
      </c>
      <c r="F58" s="789">
        <v>1409.4882957861173</v>
      </c>
      <c r="G58" s="789">
        <v>1532.1137775195093</v>
      </c>
    </row>
    <row r="59" spans="1:7">
      <c r="A59" s="790">
        <v>3500</v>
      </c>
      <c r="B59" s="789">
        <v>681.42365569813478</v>
      </c>
      <c r="C59" s="789">
        <v>986.79449301723878</v>
      </c>
      <c r="D59" s="789">
        <v>1162.5552213584094</v>
      </c>
      <c r="E59" s="789">
        <v>1298.5741822573432</v>
      </c>
      <c r="F59" s="789">
        <v>1428.4316004830778</v>
      </c>
      <c r="G59" s="789">
        <v>1552.7051497251055</v>
      </c>
    </row>
    <row r="60" spans="1:7">
      <c r="A60" s="790">
        <v>3550</v>
      </c>
      <c r="B60" s="789">
        <v>690.3950279893287</v>
      </c>
      <c r="C60" s="789">
        <v>999.81615785532836</v>
      </c>
      <c r="D60" s="789">
        <v>1177.9725768536161</v>
      </c>
      <c r="E60" s="789">
        <v>1315.7953683454891</v>
      </c>
      <c r="F60" s="789">
        <v>1447.3749051800385</v>
      </c>
      <c r="G60" s="789">
        <v>1573.2965219307016</v>
      </c>
    </row>
    <row r="61" spans="1:7">
      <c r="A61" s="790">
        <v>3600</v>
      </c>
      <c r="B61" s="789">
        <v>699.36640028052273</v>
      </c>
      <c r="C61" s="789">
        <v>1012.8378226934179</v>
      </c>
      <c r="D61" s="789">
        <v>1193.3899323488231</v>
      </c>
      <c r="E61" s="789">
        <v>1333.0165544336353</v>
      </c>
      <c r="F61" s="789">
        <v>1466.3182098769992</v>
      </c>
      <c r="G61" s="789">
        <v>1593.887894136298</v>
      </c>
    </row>
    <row r="62" spans="1:7">
      <c r="A62" s="790">
        <v>3650</v>
      </c>
      <c r="B62" s="789">
        <v>708.33777257171664</v>
      </c>
      <c r="C62" s="789">
        <v>1025.8594875315075</v>
      </c>
      <c r="D62" s="789">
        <v>1208.8072878440298</v>
      </c>
      <c r="E62" s="789">
        <v>1350.2377405217812</v>
      </c>
      <c r="F62" s="789">
        <v>1485.2615145739599</v>
      </c>
      <c r="G62" s="789">
        <v>1614.4792663418941</v>
      </c>
    </row>
    <row r="63" spans="1:7">
      <c r="A63" s="790">
        <v>3700</v>
      </c>
      <c r="B63" s="789">
        <v>717.30914486291056</v>
      </c>
      <c r="C63" s="789">
        <v>1038.881152369597</v>
      </c>
      <c r="D63" s="789">
        <v>1224.2246433392365</v>
      </c>
      <c r="E63" s="789">
        <v>1367.4589266099272</v>
      </c>
      <c r="F63" s="789">
        <v>1504.2048192709203</v>
      </c>
      <c r="G63" s="789">
        <v>1635.0706385474903</v>
      </c>
    </row>
    <row r="64" spans="1:7">
      <c r="A64" s="790">
        <v>3750</v>
      </c>
      <c r="B64" s="789">
        <v>726.28051715410459</v>
      </c>
      <c r="C64" s="789">
        <v>1051.9028172076867</v>
      </c>
      <c r="D64" s="789">
        <v>1239.6419988344437</v>
      </c>
      <c r="E64" s="789">
        <v>1384.6801126980736</v>
      </c>
      <c r="F64" s="789">
        <v>1523.1481239678812</v>
      </c>
      <c r="G64" s="789">
        <v>1655.6620107530866</v>
      </c>
    </row>
    <row r="65" spans="1:7">
      <c r="A65" s="790">
        <v>3800</v>
      </c>
      <c r="B65" s="789">
        <v>735.2518894452985</v>
      </c>
      <c r="C65" s="789">
        <v>1064.9244820457761</v>
      </c>
      <c r="D65" s="789">
        <v>1255.0593543296504</v>
      </c>
      <c r="E65" s="789">
        <v>1401.9012987862193</v>
      </c>
      <c r="F65" s="789">
        <v>1542.0914286648417</v>
      </c>
      <c r="G65" s="789">
        <v>1676.2533829586828</v>
      </c>
    </row>
    <row r="66" spans="1:7">
      <c r="A66" s="790">
        <v>3850</v>
      </c>
      <c r="B66" s="789">
        <v>744.22326173649242</v>
      </c>
      <c r="C66" s="789">
        <v>1077.9461468838656</v>
      </c>
      <c r="D66" s="789">
        <v>1270.4767098248572</v>
      </c>
      <c r="E66" s="789">
        <v>1419.1224848743655</v>
      </c>
      <c r="F66" s="789">
        <v>1561.0347333618024</v>
      </c>
      <c r="G66" s="789">
        <v>1696.8447551642789</v>
      </c>
    </row>
    <row r="67" spans="1:7">
      <c r="A67" s="790">
        <v>3900</v>
      </c>
      <c r="B67" s="789">
        <v>753.19463402768633</v>
      </c>
      <c r="C67" s="789">
        <v>1090.9678117219551</v>
      </c>
      <c r="D67" s="789">
        <v>1285.8940653200639</v>
      </c>
      <c r="E67" s="789">
        <v>1436.3436709625114</v>
      </c>
      <c r="F67" s="789">
        <v>1579.9780380587629</v>
      </c>
      <c r="G67" s="789">
        <v>1717.4361273698751</v>
      </c>
    </row>
    <row r="68" spans="1:7">
      <c r="A68" s="790">
        <v>3950</v>
      </c>
      <c r="B68" s="789">
        <v>760.12355291365009</v>
      </c>
      <c r="C68" s="789">
        <v>1100.874468122214</v>
      </c>
      <c r="D68" s="789">
        <v>1297.4269543514417</v>
      </c>
      <c r="E68" s="789">
        <v>1449.2259080105603</v>
      </c>
      <c r="F68" s="789">
        <v>1594.1484988116163</v>
      </c>
      <c r="G68" s="789">
        <v>1732.8394182082268</v>
      </c>
    </row>
    <row r="69" spans="1:7">
      <c r="A69" s="790">
        <v>4000</v>
      </c>
      <c r="B69" s="789">
        <v>765.34487514880482</v>
      </c>
      <c r="C69" s="789">
        <v>1108.1696848421154</v>
      </c>
      <c r="D69" s="789">
        <v>1305.6944769427575</v>
      </c>
      <c r="E69" s="789">
        <v>1458.4607307450599</v>
      </c>
      <c r="F69" s="789">
        <v>1604.3068038195661</v>
      </c>
      <c r="G69" s="789">
        <v>1743.8814957518682</v>
      </c>
    </row>
    <row r="70" spans="1:7">
      <c r="A70" s="790">
        <v>4050</v>
      </c>
      <c r="B70" s="789">
        <v>770.56619738395943</v>
      </c>
      <c r="C70" s="789">
        <v>1115.4649015620166</v>
      </c>
      <c r="D70" s="789">
        <v>1313.9619995340731</v>
      </c>
      <c r="E70" s="789">
        <v>1467.6955534795595</v>
      </c>
      <c r="F70" s="789">
        <v>1614.4651088275155</v>
      </c>
      <c r="G70" s="789">
        <v>1754.9235732955094</v>
      </c>
    </row>
    <row r="71" spans="1:7">
      <c r="A71" s="790">
        <v>4100</v>
      </c>
      <c r="B71" s="789">
        <v>775.78751961911416</v>
      </c>
      <c r="C71" s="789">
        <v>1122.7601182819183</v>
      </c>
      <c r="D71" s="789">
        <v>1322.2295221253889</v>
      </c>
      <c r="E71" s="789">
        <v>1476.9303762140594</v>
      </c>
      <c r="F71" s="789">
        <v>1624.6234138354653</v>
      </c>
      <c r="G71" s="789">
        <v>1765.9656508391506</v>
      </c>
    </row>
    <row r="72" spans="1:7">
      <c r="A72" s="790">
        <v>4150</v>
      </c>
      <c r="B72" s="789">
        <v>781.00884185426878</v>
      </c>
      <c r="C72" s="789">
        <v>1130.0553350018195</v>
      </c>
      <c r="D72" s="789">
        <v>1330.4970447167045</v>
      </c>
      <c r="E72" s="789">
        <v>1486.165198948559</v>
      </c>
      <c r="F72" s="789">
        <v>1634.7817188434149</v>
      </c>
      <c r="G72" s="789">
        <v>1777.0077283827918</v>
      </c>
    </row>
    <row r="73" spans="1:7">
      <c r="A73" s="790">
        <v>4200</v>
      </c>
      <c r="B73" s="789">
        <v>786.18229448930958</v>
      </c>
      <c r="C73" s="789">
        <v>1137.2836684512774</v>
      </c>
      <c r="D73" s="789">
        <v>1338.6887698409123</v>
      </c>
      <c r="E73" s="789">
        <v>1495.3153559122991</v>
      </c>
      <c r="F73" s="789">
        <v>1644.8468915035289</v>
      </c>
      <c r="G73" s="789">
        <v>1787.948571064336</v>
      </c>
    </row>
    <row r="74" spans="1:7">
      <c r="A74" s="790">
        <v>4250</v>
      </c>
      <c r="B74" s="789">
        <v>791.33181232429331</v>
      </c>
      <c r="C74" s="789">
        <v>1144.4785602655136</v>
      </c>
      <c r="D74" s="789">
        <v>1346.8425962315659</v>
      </c>
      <c r="E74" s="789">
        <v>1504.4231799906593</v>
      </c>
      <c r="F74" s="789">
        <v>1654.8654979897251</v>
      </c>
      <c r="G74" s="789">
        <v>1798.8387963148311</v>
      </c>
    </row>
    <row r="75" spans="1:7">
      <c r="A75" s="790">
        <v>4300</v>
      </c>
      <c r="B75" s="789">
        <v>796.48133015927704</v>
      </c>
      <c r="C75" s="789">
        <v>1151.6734520797499</v>
      </c>
      <c r="D75" s="789">
        <v>1354.9964226222198</v>
      </c>
      <c r="E75" s="789">
        <v>1513.5310040690194</v>
      </c>
      <c r="F75" s="789">
        <v>1664.8841044759213</v>
      </c>
      <c r="G75" s="789">
        <v>1809.7290215653263</v>
      </c>
    </row>
    <row r="76" spans="1:7">
      <c r="A76" s="790">
        <v>4350</v>
      </c>
      <c r="B76" s="789">
        <v>801.63084799426076</v>
      </c>
      <c r="C76" s="789">
        <v>1158.8683438939861</v>
      </c>
      <c r="D76" s="789">
        <v>1363.1502490128737</v>
      </c>
      <c r="E76" s="789">
        <v>1522.6388281473796</v>
      </c>
      <c r="F76" s="789">
        <v>1674.9027109621177</v>
      </c>
      <c r="G76" s="789">
        <v>1820.619246815822</v>
      </c>
    </row>
    <row r="77" spans="1:7">
      <c r="A77" s="790">
        <v>4400</v>
      </c>
      <c r="B77" s="789">
        <v>806.78036582924449</v>
      </c>
      <c r="C77" s="789">
        <v>1166.0632357082222</v>
      </c>
      <c r="D77" s="789">
        <v>1371.3040754035273</v>
      </c>
      <c r="E77" s="789">
        <v>1531.7466522257398</v>
      </c>
      <c r="F77" s="789">
        <v>1684.9213174483139</v>
      </c>
      <c r="G77" s="789">
        <v>1831.5094720663171</v>
      </c>
    </row>
    <row r="78" spans="1:7">
      <c r="A78" s="790">
        <v>4450</v>
      </c>
      <c r="B78" s="789">
        <v>811.92988366422821</v>
      </c>
      <c r="C78" s="789">
        <v>1173.2581275224584</v>
      </c>
      <c r="D78" s="789">
        <v>1379.457901794181</v>
      </c>
      <c r="E78" s="789">
        <v>1540.8544763041</v>
      </c>
      <c r="F78" s="789">
        <v>1694.93992393451</v>
      </c>
      <c r="G78" s="789">
        <v>1842.3996973168123</v>
      </c>
    </row>
    <row r="79" spans="1:7">
      <c r="A79" s="790">
        <v>4500</v>
      </c>
      <c r="B79" s="789">
        <v>817.07940149921205</v>
      </c>
      <c r="C79" s="789">
        <v>1180.4530193366948</v>
      </c>
      <c r="D79" s="789">
        <v>1387.6117281848349</v>
      </c>
      <c r="E79" s="789">
        <v>1549.9623003824604</v>
      </c>
      <c r="F79" s="789">
        <v>1704.9585304207064</v>
      </c>
      <c r="G79" s="789">
        <v>1853.2899225673079</v>
      </c>
    </row>
    <row r="80" spans="1:7">
      <c r="A80" s="790">
        <v>4550</v>
      </c>
      <c r="B80" s="789">
        <v>822.22891933419578</v>
      </c>
      <c r="C80" s="789">
        <v>1187.6479111509309</v>
      </c>
      <c r="D80" s="789">
        <v>1395.7655545754885</v>
      </c>
      <c r="E80" s="789">
        <v>1559.0701244608206</v>
      </c>
      <c r="F80" s="789">
        <v>1714.9771369069026</v>
      </c>
      <c r="G80" s="789">
        <v>1864.1801478178031</v>
      </c>
    </row>
    <row r="81" spans="1:7">
      <c r="A81" s="790">
        <v>4600</v>
      </c>
      <c r="B81" s="789">
        <v>827.37843716917951</v>
      </c>
      <c r="C81" s="789">
        <v>1194.842802965167</v>
      </c>
      <c r="D81" s="789">
        <v>1403.9193809661422</v>
      </c>
      <c r="E81" s="789">
        <v>1568.1779485391808</v>
      </c>
      <c r="F81" s="789">
        <v>1724.9957433930988</v>
      </c>
      <c r="G81" s="789">
        <v>1875.0703730682985</v>
      </c>
    </row>
    <row r="82" spans="1:7">
      <c r="A82" s="790">
        <v>4650</v>
      </c>
      <c r="B82" s="789">
        <v>832.52795500416335</v>
      </c>
      <c r="C82" s="789">
        <v>1202.0376947794034</v>
      </c>
      <c r="D82" s="789">
        <v>1412.073207356796</v>
      </c>
      <c r="E82" s="789">
        <v>1577.2857726175412</v>
      </c>
      <c r="F82" s="789">
        <v>1735.0143498792952</v>
      </c>
      <c r="G82" s="789">
        <v>1885.9605983187939</v>
      </c>
    </row>
    <row r="83" spans="1:7">
      <c r="A83" s="790">
        <v>4700</v>
      </c>
      <c r="B83" s="789">
        <v>837.67747283914707</v>
      </c>
      <c r="C83" s="789">
        <v>1209.2325865936396</v>
      </c>
      <c r="D83" s="789">
        <v>1420.2270337474497</v>
      </c>
      <c r="E83" s="789">
        <v>1586.3935966959014</v>
      </c>
      <c r="F83" s="789">
        <v>1745.0329563654914</v>
      </c>
      <c r="G83" s="789">
        <v>1896.8508235692891</v>
      </c>
    </row>
    <row r="84" spans="1:7">
      <c r="A84" s="790">
        <v>4750</v>
      </c>
      <c r="B84" s="789">
        <v>842.8269906741308</v>
      </c>
      <c r="C84" s="789">
        <v>1216.4274784078757</v>
      </c>
      <c r="D84" s="789">
        <v>1428.3808601381033</v>
      </c>
      <c r="E84" s="789">
        <v>1595.5014207742615</v>
      </c>
      <c r="F84" s="789">
        <v>1755.0515628516875</v>
      </c>
      <c r="G84" s="789">
        <v>1907.7410488197843</v>
      </c>
    </row>
    <row r="85" spans="1:7">
      <c r="A85" s="790">
        <v>4800</v>
      </c>
      <c r="B85" s="789">
        <v>847.97650850911464</v>
      </c>
      <c r="C85" s="789">
        <v>1223.6223702221121</v>
      </c>
      <c r="D85" s="789">
        <v>1436.5346865287572</v>
      </c>
      <c r="E85" s="789">
        <v>1604.6092448526217</v>
      </c>
      <c r="F85" s="789">
        <v>1765.070169337884</v>
      </c>
      <c r="G85" s="789">
        <v>1918.6312740702799</v>
      </c>
    </row>
    <row r="86" spans="1:7">
      <c r="A86" s="790">
        <v>4850</v>
      </c>
      <c r="B86" s="789">
        <v>853.12602634409836</v>
      </c>
      <c r="C86" s="789">
        <v>1230.8172620363482</v>
      </c>
      <c r="D86" s="789">
        <v>1444.6885129194111</v>
      </c>
      <c r="E86" s="789">
        <v>1613.7170689309819</v>
      </c>
      <c r="F86" s="789">
        <v>1775.0887758240801</v>
      </c>
      <c r="G86" s="789">
        <v>1929.5214993207751</v>
      </c>
    </row>
    <row r="87" spans="1:7">
      <c r="A87" s="790">
        <v>4900</v>
      </c>
      <c r="B87" s="789">
        <v>858.27554417908209</v>
      </c>
      <c r="C87" s="789">
        <v>1238.0121538505844</v>
      </c>
      <c r="D87" s="789">
        <v>1452.8423393100647</v>
      </c>
      <c r="E87" s="789">
        <v>1622.8248930093421</v>
      </c>
      <c r="F87" s="789">
        <v>1785.1073823102763</v>
      </c>
      <c r="G87" s="789">
        <v>1940.4117245712705</v>
      </c>
    </row>
    <row r="88" spans="1:7">
      <c r="A88" s="790">
        <v>4950</v>
      </c>
      <c r="B88" s="789">
        <v>863.42506201406582</v>
      </c>
      <c r="C88" s="789">
        <v>1245.2070456648207</v>
      </c>
      <c r="D88" s="789">
        <v>1460.9961657007186</v>
      </c>
      <c r="E88" s="789">
        <v>1631.9327170877025</v>
      </c>
      <c r="F88" s="789">
        <v>1795.1259887964727</v>
      </c>
      <c r="G88" s="789">
        <v>1951.3019498217659</v>
      </c>
    </row>
    <row r="89" spans="1:7">
      <c r="A89" s="790">
        <v>5000</v>
      </c>
      <c r="B89" s="789">
        <v>868.57457984904954</v>
      </c>
      <c r="C89" s="789">
        <v>1252.4019374790569</v>
      </c>
      <c r="D89" s="789">
        <v>1469.1499920913723</v>
      </c>
      <c r="E89" s="789">
        <v>1641.0405411660627</v>
      </c>
      <c r="F89" s="789">
        <v>1805.1445952826689</v>
      </c>
      <c r="G89" s="789">
        <v>1962.1921750722611</v>
      </c>
    </row>
    <row r="90" spans="1:7">
      <c r="A90" s="790">
        <v>5050</v>
      </c>
      <c r="B90" s="789">
        <v>873.61816961060526</v>
      </c>
      <c r="C90" s="789">
        <v>1259.4538306571399</v>
      </c>
      <c r="D90" s="789">
        <v>1477.1506514599839</v>
      </c>
      <c r="E90" s="789">
        <v>1649.9772776808022</v>
      </c>
      <c r="F90" s="789">
        <v>1814.9750054488825</v>
      </c>
      <c r="G90" s="789">
        <v>1972.8778309229353</v>
      </c>
    </row>
    <row r="91" spans="1:7">
      <c r="A91" s="790">
        <v>5100</v>
      </c>
      <c r="B91" s="789">
        <v>877.34766196893406</v>
      </c>
      <c r="C91" s="789">
        <v>1264.7317452254692</v>
      </c>
      <c r="D91" s="789">
        <v>1483.251187665664</v>
      </c>
      <c r="E91" s="789">
        <v>1656.7915766225467</v>
      </c>
      <c r="F91" s="789">
        <v>1822.4707342848017</v>
      </c>
      <c r="G91" s="789">
        <v>1981.0256881675791</v>
      </c>
    </row>
    <row r="92" spans="1:7">
      <c r="A92" s="790">
        <v>5150</v>
      </c>
      <c r="B92" s="789">
        <v>881.07715432726275</v>
      </c>
      <c r="C92" s="789">
        <v>1270.0096597937984</v>
      </c>
      <c r="D92" s="789">
        <v>1489.3517238713439</v>
      </c>
      <c r="E92" s="789">
        <v>1663.6058755642912</v>
      </c>
      <c r="F92" s="789">
        <v>1829.9664631207206</v>
      </c>
      <c r="G92" s="789">
        <v>1989.1735454122231</v>
      </c>
    </row>
    <row r="93" spans="1:7">
      <c r="A93" s="790">
        <v>5200</v>
      </c>
      <c r="B93" s="789">
        <v>884.80664668559155</v>
      </c>
      <c r="C93" s="789">
        <v>1275.2875743621278</v>
      </c>
      <c r="D93" s="789">
        <v>1495.4522600770238</v>
      </c>
      <c r="E93" s="789">
        <v>1670.4201745060357</v>
      </c>
      <c r="F93" s="789">
        <v>1837.4621919566393</v>
      </c>
      <c r="G93" s="789">
        <v>1997.3214026568669</v>
      </c>
    </row>
    <row r="94" spans="1:7">
      <c r="A94" s="790">
        <v>5250</v>
      </c>
      <c r="B94" s="789">
        <v>888.53613904392034</v>
      </c>
      <c r="C94" s="789">
        <v>1280.5654889304571</v>
      </c>
      <c r="D94" s="789">
        <v>1501.5527962827039</v>
      </c>
      <c r="E94" s="789">
        <v>1677.2344734477804</v>
      </c>
      <c r="F94" s="789">
        <v>1844.9579207925585</v>
      </c>
      <c r="G94" s="789">
        <v>2005.4692599015109</v>
      </c>
    </row>
    <row r="95" spans="1:7">
      <c r="A95" s="790">
        <v>5300</v>
      </c>
      <c r="B95" s="789">
        <v>892.26563140224903</v>
      </c>
      <c r="C95" s="789">
        <v>1285.8434034987865</v>
      </c>
      <c r="D95" s="789">
        <v>1507.6533324883837</v>
      </c>
      <c r="E95" s="789">
        <v>1684.0487723895249</v>
      </c>
      <c r="F95" s="789">
        <v>1852.4536496284775</v>
      </c>
      <c r="G95" s="789">
        <v>2013.6171171461549</v>
      </c>
    </row>
    <row r="96" spans="1:7">
      <c r="A96" s="790">
        <v>5350</v>
      </c>
      <c r="B96" s="789">
        <v>895.99512376057771</v>
      </c>
      <c r="C96" s="789">
        <v>1291.1213180671159</v>
      </c>
      <c r="D96" s="789">
        <v>1513.7538686940636</v>
      </c>
      <c r="E96" s="789">
        <v>1690.8630713312693</v>
      </c>
      <c r="F96" s="789">
        <v>1859.9493784643964</v>
      </c>
      <c r="G96" s="789">
        <v>2021.7649743907987</v>
      </c>
    </row>
    <row r="97" spans="1:7">
      <c r="A97" s="790">
        <v>5400</v>
      </c>
      <c r="B97" s="789">
        <v>899.72461611890651</v>
      </c>
      <c r="C97" s="789">
        <v>1296.3992326354453</v>
      </c>
      <c r="D97" s="789">
        <v>1519.8544048997437</v>
      </c>
      <c r="E97" s="789">
        <v>1697.6773702730138</v>
      </c>
      <c r="F97" s="789">
        <v>1867.4451073003154</v>
      </c>
      <c r="G97" s="789">
        <v>2029.9128316354427</v>
      </c>
    </row>
    <row r="98" spans="1:7">
      <c r="A98" s="790">
        <v>5450</v>
      </c>
      <c r="B98" s="789">
        <v>903.45410847723531</v>
      </c>
      <c r="C98" s="789">
        <v>1301.6771472037744</v>
      </c>
      <c r="D98" s="789">
        <v>1525.9549411054236</v>
      </c>
      <c r="E98" s="789">
        <v>1704.4916692147583</v>
      </c>
      <c r="F98" s="789">
        <v>1874.9408361362343</v>
      </c>
      <c r="G98" s="789">
        <v>2038.0606888800864</v>
      </c>
    </row>
    <row r="99" spans="1:7">
      <c r="A99" s="790">
        <v>5500</v>
      </c>
      <c r="B99" s="789">
        <v>907.18360083556399</v>
      </c>
      <c r="C99" s="789">
        <v>1306.9550617721038</v>
      </c>
      <c r="D99" s="789">
        <v>1532.0554773111035</v>
      </c>
      <c r="E99" s="789">
        <v>1711.3059681565028</v>
      </c>
      <c r="F99" s="789">
        <v>1882.4365649721533</v>
      </c>
      <c r="G99" s="789">
        <v>2046.2085461247304</v>
      </c>
    </row>
    <row r="100" spans="1:7">
      <c r="A100" s="790">
        <v>5550</v>
      </c>
      <c r="B100" s="789">
        <v>910.91309319389279</v>
      </c>
      <c r="C100" s="789">
        <v>1312.2329763404332</v>
      </c>
      <c r="D100" s="789">
        <v>1538.1560135167836</v>
      </c>
      <c r="E100" s="789">
        <v>1718.1202670982473</v>
      </c>
      <c r="F100" s="789">
        <v>1889.9322938080722</v>
      </c>
      <c r="G100" s="789">
        <v>2054.3564033693742</v>
      </c>
    </row>
    <row r="101" spans="1:7">
      <c r="A101" s="790">
        <v>5600</v>
      </c>
      <c r="B101" s="789">
        <v>914.64258555222159</v>
      </c>
      <c r="C101" s="789">
        <v>1317.5108909087626</v>
      </c>
      <c r="D101" s="789">
        <v>1544.2565497224637</v>
      </c>
      <c r="E101" s="789">
        <v>1724.934566039992</v>
      </c>
      <c r="F101" s="789">
        <v>1897.4280226439912</v>
      </c>
      <c r="G101" s="789">
        <v>2062.5042606140182</v>
      </c>
    </row>
    <row r="102" spans="1:7">
      <c r="A102" s="790">
        <v>5650</v>
      </c>
      <c r="B102" s="789">
        <v>918.37207791055027</v>
      </c>
      <c r="C102" s="789">
        <v>1322.7888054770917</v>
      </c>
      <c r="D102" s="789">
        <v>1550.3570859281433</v>
      </c>
      <c r="E102" s="789">
        <v>1731.7488649817362</v>
      </c>
      <c r="F102" s="789">
        <v>1904.9237514799102</v>
      </c>
      <c r="G102" s="789">
        <v>2070.6521178586622</v>
      </c>
    </row>
    <row r="103" spans="1:7">
      <c r="A103" s="790">
        <v>5700</v>
      </c>
      <c r="B103" s="789">
        <v>922.10157026887907</v>
      </c>
      <c r="C103" s="789">
        <v>1328.0667200454211</v>
      </c>
      <c r="D103" s="789">
        <v>1556.4576221338234</v>
      </c>
      <c r="E103" s="789">
        <v>1738.5631639234809</v>
      </c>
      <c r="F103" s="789">
        <v>1912.4194803158291</v>
      </c>
      <c r="G103" s="789">
        <v>2078.7999751033062</v>
      </c>
    </row>
    <row r="104" spans="1:7">
      <c r="A104" s="790">
        <v>5750</v>
      </c>
      <c r="B104" s="789">
        <v>925.83106262720776</v>
      </c>
      <c r="C104" s="789">
        <v>1333.3446346137505</v>
      </c>
      <c r="D104" s="789">
        <v>1562.5581583395033</v>
      </c>
      <c r="E104" s="789">
        <v>1745.3774628652252</v>
      </c>
      <c r="F104" s="789">
        <v>1919.9152091517478</v>
      </c>
      <c r="G104" s="789">
        <v>2086.9478323479498</v>
      </c>
    </row>
    <row r="105" spans="1:7">
      <c r="A105" s="790">
        <v>5800</v>
      </c>
      <c r="B105" s="789">
        <v>929.56055498553656</v>
      </c>
      <c r="C105" s="789">
        <v>1338.6225491820799</v>
      </c>
      <c r="D105" s="789">
        <v>1568.6586945451832</v>
      </c>
      <c r="E105" s="789">
        <v>1752.1917618069699</v>
      </c>
      <c r="F105" s="789">
        <v>1927.410937987667</v>
      </c>
      <c r="G105" s="789">
        <v>2095.0956895925938</v>
      </c>
    </row>
    <row r="106" spans="1:7">
      <c r="A106" s="790">
        <v>5850</v>
      </c>
      <c r="B106" s="789">
        <v>933.29004734386524</v>
      </c>
      <c r="C106" s="789">
        <v>1343.9004637504092</v>
      </c>
      <c r="D106" s="789">
        <v>1574.7592307508633</v>
      </c>
      <c r="E106" s="789">
        <v>1759.0060607487144</v>
      </c>
      <c r="F106" s="789">
        <v>1934.906666823586</v>
      </c>
      <c r="G106" s="789">
        <v>2103.2435468372378</v>
      </c>
    </row>
    <row r="107" spans="1:7">
      <c r="A107" s="790">
        <v>5900</v>
      </c>
      <c r="B107" s="789">
        <v>937.01953970219404</v>
      </c>
      <c r="C107" s="789">
        <v>1349.1783783187386</v>
      </c>
      <c r="D107" s="789">
        <v>1580.8597669565434</v>
      </c>
      <c r="E107" s="789">
        <v>1765.8203596904589</v>
      </c>
      <c r="F107" s="789">
        <v>1942.4023956595049</v>
      </c>
      <c r="G107" s="789">
        <v>2111.3914040818818</v>
      </c>
    </row>
    <row r="108" spans="1:7">
      <c r="A108" s="790">
        <v>5950</v>
      </c>
      <c r="B108" s="789">
        <v>940.74903206052272</v>
      </c>
      <c r="C108" s="789">
        <v>1354.4562928870678</v>
      </c>
      <c r="D108" s="789">
        <v>1586.9603031622232</v>
      </c>
      <c r="E108" s="789">
        <v>1772.6346586322034</v>
      </c>
      <c r="F108" s="789">
        <v>1949.8981244954239</v>
      </c>
      <c r="G108" s="789">
        <v>2119.5392613265258</v>
      </c>
    </row>
    <row r="109" spans="1:7">
      <c r="A109" s="790">
        <v>6000</v>
      </c>
      <c r="B109" s="789">
        <v>944.47852441885152</v>
      </c>
      <c r="C109" s="789">
        <v>1359.7342074553972</v>
      </c>
      <c r="D109" s="789">
        <v>1593.0608393679031</v>
      </c>
      <c r="E109" s="789">
        <v>1779.4489575739478</v>
      </c>
      <c r="F109" s="789">
        <v>1957.3938533313428</v>
      </c>
      <c r="G109" s="789">
        <v>2127.6871185711693</v>
      </c>
    </row>
    <row r="110" spans="1:7">
      <c r="A110" s="790">
        <v>6050</v>
      </c>
      <c r="B110" s="789">
        <v>948.20801677718021</v>
      </c>
      <c r="C110" s="789">
        <v>1365.0121220237263</v>
      </c>
      <c r="D110" s="789">
        <v>1599.161375573583</v>
      </c>
      <c r="E110" s="789">
        <v>1786.2632565156923</v>
      </c>
      <c r="F110" s="789">
        <v>1964.8895821672618</v>
      </c>
      <c r="G110" s="789">
        <v>2135.8349758158133</v>
      </c>
    </row>
    <row r="111" spans="1:7">
      <c r="A111" s="790">
        <v>6100</v>
      </c>
      <c r="B111" s="789">
        <v>951.937509135509</v>
      </c>
      <c r="C111" s="789">
        <v>1370.2900365920557</v>
      </c>
      <c r="D111" s="789">
        <v>1605.2619117792628</v>
      </c>
      <c r="E111" s="789">
        <v>1793.0775554574368</v>
      </c>
      <c r="F111" s="789">
        <v>1972.3853110031807</v>
      </c>
      <c r="G111" s="789">
        <v>2143.9828330604573</v>
      </c>
    </row>
    <row r="112" spans="1:7">
      <c r="A112" s="790">
        <v>6150</v>
      </c>
      <c r="B112" s="789">
        <v>955.6670014938378</v>
      </c>
      <c r="C112" s="789">
        <v>1375.5679511603853</v>
      </c>
      <c r="D112" s="789">
        <v>1611.3624479849429</v>
      </c>
      <c r="E112" s="789">
        <v>1799.8918543991815</v>
      </c>
      <c r="F112" s="789">
        <v>1979.8810398390997</v>
      </c>
      <c r="G112" s="789">
        <v>2152.1306903051013</v>
      </c>
    </row>
    <row r="113" spans="1:7">
      <c r="A113" s="790">
        <v>6200</v>
      </c>
      <c r="B113" s="789">
        <v>958.94102640465394</v>
      </c>
      <c r="C113" s="789">
        <v>1380.0549508185788</v>
      </c>
      <c r="D113" s="789">
        <v>1616.3575228991729</v>
      </c>
      <c r="E113" s="789">
        <v>1805.4713530783761</v>
      </c>
      <c r="F113" s="789">
        <v>1986.0184883862137</v>
      </c>
      <c r="G113" s="789">
        <v>2158.8020968758142</v>
      </c>
    </row>
    <row r="114" spans="1:7">
      <c r="A114" s="790">
        <v>6250</v>
      </c>
      <c r="B114" s="789">
        <v>961.8430356177098</v>
      </c>
      <c r="C114" s="789">
        <v>1383.8959487399416</v>
      </c>
      <c r="D114" s="789">
        <v>1620.449681576619</v>
      </c>
      <c r="E114" s="789">
        <v>1810.0422943210833</v>
      </c>
      <c r="F114" s="789">
        <v>1991.0465237531917</v>
      </c>
      <c r="G114" s="789">
        <v>2164.2675713197191</v>
      </c>
    </row>
    <row r="115" spans="1:7">
      <c r="A115" s="790">
        <v>6300</v>
      </c>
      <c r="B115" s="789">
        <v>964.74504483076566</v>
      </c>
      <c r="C115" s="789">
        <v>1387.736946661304</v>
      </c>
      <c r="D115" s="789">
        <v>1624.5418402540647</v>
      </c>
      <c r="E115" s="789">
        <v>1814.6132355637903</v>
      </c>
      <c r="F115" s="789">
        <v>1996.0745591201692</v>
      </c>
      <c r="G115" s="789">
        <v>2169.733045763624</v>
      </c>
    </row>
    <row r="116" spans="1:7">
      <c r="A116" s="790">
        <v>6350</v>
      </c>
      <c r="B116" s="789">
        <v>967.64705404382153</v>
      </c>
      <c r="C116" s="789">
        <v>1391.5779445826665</v>
      </c>
      <c r="D116" s="789">
        <v>1628.6339989315106</v>
      </c>
      <c r="E116" s="789">
        <v>1819.1841768064974</v>
      </c>
      <c r="F116" s="789">
        <v>2001.1025944871469</v>
      </c>
      <c r="G116" s="789">
        <v>2175.1985202075289</v>
      </c>
    </row>
    <row r="117" spans="1:7">
      <c r="A117" s="790">
        <v>6400</v>
      </c>
      <c r="B117" s="789">
        <v>970.5490632568775</v>
      </c>
      <c r="C117" s="789">
        <v>1395.418942504029</v>
      </c>
      <c r="D117" s="789">
        <v>1632.7261576089566</v>
      </c>
      <c r="E117" s="789">
        <v>1823.7551180492044</v>
      </c>
      <c r="F117" s="789">
        <v>2006.1306298541249</v>
      </c>
      <c r="G117" s="789">
        <v>2180.6639946514338</v>
      </c>
    </row>
    <row r="118" spans="1:7">
      <c r="A118" s="790">
        <v>6450</v>
      </c>
      <c r="B118" s="789">
        <v>973.45107246993337</v>
      </c>
      <c r="C118" s="789">
        <v>1399.2599404253917</v>
      </c>
      <c r="D118" s="789">
        <v>1636.8183162864025</v>
      </c>
      <c r="E118" s="789">
        <v>1828.3260592919116</v>
      </c>
      <c r="F118" s="789">
        <v>2011.1586652211026</v>
      </c>
      <c r="G118" s="789">
        <v>2186.1294690953387</v>
      </c>
    </row>
    <row r="119" spans="1:7">
      <c r="A119" s="790">
        <v>6500</v>
      </c>
      <c r="B119" s="789">
        <v>976.35308168298934</v>
      </c>
      <c r="C119" s="789">
        <v>1403.1009383467542</v>
      </c>
      <c r="D119" s="789">
        <v>1640.9104749638486</v>
      </c>
      <c r="E119" s="789">
        <v>1832.8970005346189</v>
      </c>
      <c r="F119" s="789">
        <v>2016.1867005880806</v>
      </c>
      <c r="G119" s="789">
        <v>2191.5949435392436</v>
      </c>
    </row>
    <row r="120" spans="1:7">
      <c r="A120" s="790">
        <v>6550</v>
      </c>
      <c r="B120" s="789">
        <v>979.2550908960452</v>
      </c>
      <c r="C120" s="789">
        <v>1406.9419362681167</v>
      </c>
      <c r="D120" s="789">
        <v>1645.0026336412943</v>
      </c>
      <c r="E120" s="789">
        <v>1837.4679417773259</v>
      </c>
      <c r="F120" s="789">
        <v>2021.2147359550584</v>
      </c>
      <c r="G120" s="789">
        <v>2197.0604179831485</v>
      </c>
    </row>
    <row r="121" spans="1:7">
      <c r="A121" s="790">
        <v>6600</v>
      </c>
      <c r="B121" s="789">
        <v>982.15710010910107</v>
      </c>
      <c r="C121" s="789">
        <v>1410.7829341894794</v>
      </c>
      <c r="D121" s="789">
        <v>1649.0947923187405</v>
      </c>
      <c r="E121" s="789">
        <v>1842.0388830200329</v>
      </c>
      <c r="F121" s="789">
        <v>2026.2427713220361</v>
      </c>
      <c r="G121" s="789">
        <v>2202.5258924270533</v>
      </c>
    </row>
    <row r="122" spans="1:7">
      <c r="A122" s="790">
        <v>6650</v>
      </c>
      <c r="B122" s="789">
        <v>985.05910932215704</v>
      </c>
      <c r="C122" s="789">
        <v>1414.6239321108419</v>
      </c>
      <c r="D122" s="789">
        <v>1653.1869509961864</v>
      </c>
      <c r="E122" s="789">
        <v>1846.6098242627402</v>
      </c>
      <c r="F122" s="789">
        <v>2031.2708066890141</v>
      </c>
      <c r="G122" s="789">
        <v>2207.9913668709582</v>
      </c>
    </row>
    <row r="123" spans="1:7">
      <c r="A123" s="790">
        <v>6700</v>
      </c>
      <c r="B123" s="789">
        <v>987.96111853521279</v>
      </c>
      <c r="C123" s="789">
        <v>1418.4649300322044</v>
      </c>
      <c r="D123" s="789">
        <v>1657.2791096736321</v>
      </c>
      <c r="E123" s="789">
        <v>1851.1807655054472</v>
      </c>
      <c r="F123" s="789">
        <v>2036.2988420559918</v>
      </c>
      <c r="G123" s="789">
        <v>2213.4568413148627</v>
      </c>
    </row>
    <row r="124" spans="1:7">
      <c r="A124" s="790">
        <v>6750</v>
      </c>
      <c r="B124" s="789">
        <v>990.86312774826877</v>
      </c>
      <c r="C124" s="789">
        <v>1422.3059279535671</v>
      </c>
      <c r="D124" s="789">
        <v>1661.3712683510782</v>
      </c>
      <c r="E124" s="789">
        <v>1855.7517067481542</v>
      </c>
      <c r="F124" s="789">
        <v>2041.3268774229696</v>
      </c>
      <c r="G124" s="789">
        <v>2218.922315758768</v>
      </c>
    </row>
    <row r="125" spans="1:7">
      <c r="A125" s="790">
        <v>6800</v>
      </c>
      <c r="B125" s="789">
        <v>993.76513696132474</v>
      </c>
      <c r="C125" s="789">
        <v>1426.1469258749296</v>
      </c>
      <c r="D125" s="789">
        <v>1665.4634270285242</v>
      </c>
      <c r="E125" s="789">
        <v>1860.3226479908615</v>
      </c>
      <c r="F125" s="789">
        <v>2046.3549127899475</v>
      </c>
      <c r="G125" s="789">
        <v>2224.3877902026729</v>
      </c>
    </row>
    <row r="126" spans="1:7">
      <c r="A126" s="790">
        <v>6850</v>
      </c>
      <c r="B126" s="789">
        <v>996.6671461743806</v>
      </c>
      <c r="C126" s="789">
        <v>1429.9879237962923</v>
      </c>
      <c r="D126" s="789">
        <v>1669.5555857059701</v>
      </c>
      <c r="E126" s="789">
        <v>1864.8935892335685</v>
      </c>
      <c r="F126" s="789">
        <v>2051.3829481569255</v>
      </c>
      <c r="G126" s="789">
        <v>2229.8532646465778</v>
      </c>
    </row>
    <row r="127" spans="1:7">
      <c r="A127" s="790">
        <v>6900</v>
      </c>
      <c r="B127" s="789">
        <v>999.56915538743647</v>
      </c>
      <c r="C127" s="789">
        <v>1433.8289217176548</v>
      </c>
      <c r="D127" s="789">
        <v>1673.647744383416</v>
      </c>
      <c r="E127" s="789">
        <v>1869.4645304762755</v>
      </c>
      <c r="F127" s="789">
        <v>2056.4109835239033</v>
      </c>
      <c r="G127" s="789">
        <v>2235.3187390904823</v>
      </c>
    </row>
    <row r="128" spans="1:7">
      <c r="A128" s="790">
        <v>6950</v>
      </c>
      <c r="B128" s="789">
        <v>1002.4711646004923</v>
      </c>
      <c r="C128" s="789">
        <v>1437.6699196390173</v>
      </c>
      <c r="D128" s="789">
        <v>1677.7399030608619</v>
      </c>
      <c r="E128" s="789">
        <v>1874.0354717189828</v>
      </c>
      <c r="F128" s="789">
        <v>2061.439018890881</v>
      </c>
      <c r="G128" s="789">
        <v>2240.7842135343876</v>
      </c>
    </row>
    <row r="129" spans="1:7">
      <c r="A129" s="790">
        <v>7000</v>
      </c>
      <c r="B129" s="789">
        <v>1005.3731738135482</v>
      </c>
      <c r="C129" s="789">
        <v>1441.51091756038</v>
      </c>
      <c r="D129" s="789">
        <v>1681.8320617383079</v>
      </c>
      <c r="E129" s="789">
        <v>1878.6064129616898</v>
      </c>
      <c r="F129" s="789">
        <v>2066.4670542578588</v>
      </c>
      <c r="G129" s="789">
        <v>2246.2496879782921</v>
      </c>
    </row>
    <row r="130" spans="1:7">
      <c r="A130" s="790">
        <v>7050</v>
      </c>
      <c r="B130" s="789">
        <v>1008.2751830266042</v>
      </c>
      <c r="C130" s="789">
        <v>1445.3519154817425</v>
      </c>
      <c r="D130" s="789">
        <v>1685.9242204157538</v>
      </c>
      <c r="E130" s="789">
        <v>1883.1773542043968</v>
      </c>
      <c r="F130" s="789">
        <v>2071.4950896248365</v>
      </c>
      <c r="G130" s="789">
        <v>2251.715162422197</v>
      </c>
    </row>
    <row r="131" spans="1:7">
      <c r="A131" s="790">
        <v>7100</v>
      </c>
      <c r="B131" s="789">
        <v>1011.17719223966</v>
      </c>
      <c r="C131" s="789">
        <v>1449.1929134031052</v>
      </c>
      <c r="D131" s="789">
        <v>1690.0163790931997</v>
      </c>
      <c r="E131" s="789">
        <v>1887.7482954471041</v>
      </c>
      <c r="F131" s="789">
        <v>2076.5231249918143</v>
      </c>
      <c r="G131" s="789">
        <v>2257.1806368661023</v>
      </c>
    </row>
    <row r="132" spans="1:7">
      <c r="A132" s="790">
        <v>7150</v>
      </c>
      <c r="B132" s="789">
        <v>1014.079201452716</v>
      </c>
      <c r="C132" s="789">
        <v>1453.0339113244677</v>
      </c>
      <c r="D132" s="789">
        <v>1694.1085377706456</v>
      </c>
      <c r="E132" s="789">
        <v>1892.3192366898111</v>
      </c>
      <c r="F132" s="789">
        <v>2081.551160358792</v>
      </c>
      <c r="G132" s="789">
        <v>2262.6461113100072</v>
      </c>
    </row>
    <row r="133" spans="1:7">
      <c r="A133" s="790">
        <v>7200</v>
      </c>
      <c r="B133" s="789">
        <v>1016.9812106657719</v>
      </c>
      <c r="C133" s="789">
        <v>1456.8749092458302</v>
      </c>
      <c r="D133" s="789">
        <v>1698.2006964480915</v>
      </c>
      <c r="E133" s="789">
        <v>1896.8901779325181</v>
      </c>
      <c r="F133" s="789">
        <v>2086.5791957257698</v>
      </c>
      <c r="G133" s="789">
        <v>2268.1115857539116</v>
      </c>
    </row>
    <row r="134" spans="1:7">
      <c r="A134" s="790">
        <v>7250</v>
      </c>
      <c r="B134" s="789">
        <v>1019.8832198788277</v>
      </c>
      <c r="C134" s="789">
        <v>1460.7159071671929</v>
      </c>
      <c r="D134" s="789">
        <v>1702.2928551255375</v>
      </c>
      <c r="E134" s="789">
        <v>1901.4611191752253</v>
      </c>
      <c r="F134" s="789">
        <v>2091.607231092748</v>
      </c>
      <c r="G134" s="789">
        <v>2273.5770601978165</v>
      </c>
    </row>
    <row r="135" spans="1:7">
      <c r="A135" s="790">
        <v>7300</v>
      </c>
      <c r="B135" s="789">
        <v>1022.7481914371537</v>
      </c>
      <c r="C135" s="789">
        <v>1464.5049971734877</v>
      </c>
      <c r="D135" s="789">
        <v>1706.3265354666898</v>
      </c>
      <c r="E135" s="789">
        <v>1905.9667401162928</v>
      </c>
      <c r="F135" s="789">
        <v>2096.563414127922</v>
      </c>
      <c r="G135" s="789">
        <v>2278.9644311570514</v>
      </c>
    </row>
    <row r="136" spans="1:7">
      <c r="A136" s="790">
        <v>7350</v>
      </c>
      <c r="B136" s="789">
        <v>1024.2394677499317</v>
      </c>
      <c r="C136" s="789">
        <v>1466.3688665724158</v>
      </c>
      <c r="D136" s="789">
        <v>1708.1913038419123</v>
      </c>
      <c r="E136" s="789">
        <v>1908.0496863914163</v>
      </c>
      <c r="F136" s="789">
        <v>2098.8546550305578</v>
      </c>
      <c r="G136" s="789">
        <v>2281.4550100182164</v>
      </c>
    </row>
    <row r="137" spans="1:7">
      <c r="A137" s="790">
        <v>7400</v>
      </c>
      <c r="B137" s="789">
        <v>1025.7307440627098</v>
      </c>
      <c r="C137" s="789">
        <v>1468.2327359713436</v>
      </c>
      <c r="D137" s="789">
        <v>1710.0560722171349</v>
      </c>
      <c r="E137" s="789">
        <v>1910.1326326665398</v>
      </c>
      <c r="F137" s="789">
        <v>2101.1458959331935</v>
      </c>
      <c r="G137" s="789">
        <v>2283.9455888793818</v>
      </c>
    </row>
    <row r="138" spans="1:7">
      <c r="A138" s="790">
        <v>7450</v>
      </c>
      <c r="B138" s="789">
        <v>1027.2220203754878</v>
      </c>
      <c r="C138" s="789">
        <v>1470.0966053702716</v>
      </c>
      <c r="D138" s="789">
        <v>1711.9208405923573</v>
      </c>
      <c r="E138" s="789">
        <v>1912.2155789416634</v>
      </c>
      <c r="F138" s="789">
        <v>2103.4371368358297</v>
      </c>
      <c r="G138" s="789">
        <v>2286.4361677405468</v>
      </c>
    </row>
    <row r="139" spans="1:7">
      <c r="A139" s="790">
        <v>7500</v>
      </c>
      <c r="B139" s="789">
        <v>1028.7132966882659</v>
      </c>
      <c r="C139" s="789">
        <v>1471.9604747691994</v>
      </c>
      <c r="D139" s="789">
        <v>1713.7856089675797</v>
      </c>
      <c r="E139" s="789">
        <v>1914.2985252167869</v>
      </c>
      <c r="F139" s="789">
        <v>2105.7283777384655</v>
      </c>
      <c r="G139" s="789">
        <v>2288.9267466017118</v>
      </c>
    </row>
    <row r="140" spans="1:7">
      <c r="A140" s="790">
        <v>7550</v>
      </c>
      <c r="B140" s="789">
        <v>1030.2045730010439</v>
      </c>
      <c r="C140" s="789">
        <v>1473.8243441681273</v>
      </c>
      <c r="D140" s="789">
        <v>1715.6503773428024</v>
      </c>
      <c r="E140" s="789">
        <v>1916.3814714919104</v>
      </c>
      <c r="F140" s="789">
        <v>2108.0196186411013</v>
      </c>
      <c r="G140" s="789">
        <v>2291.4173254628772</v>
      </c>
    </row>
    <row r="141" spans="1:7">
      <c r="A141" s="790">
        <v>7600</v>
      </c>
      <c r="B141" s="789">
        <v>1031.6958493138218</v>
      </c>
      <c r="C141" s="789">
        <v>1475.6882135670553</v>
      </c>
      <c r="D141" s="789">
        <v>1717.5151457180248</v>
      </c>
      <c r="E141" s="789">
        <v>1918.4644177670339</v>
      </c>
      <c r="F141" s="789">
        <v>2110.310859543737</v>
      </c>
      <c r="G141" s="789">
        <v>2293.9079043240422</v>
      </c>
    </row>
    <row r="142" spans="1:7">
      <c r="A142" s="790">
        <v>7650</v>
      </c>
      <c r="B142" s="789">
        <v>1033.1871256265999</v>
      </c>
      <c r="C142" s="789">
        <v>1477.5520829659831</v>
      </c>
      <c r="D142" s="789">
        <v>1719.3799140932472</v>
      </c>
      <c r="E142" s="789">
        <v>1920.5473640421574</v>
      </c>
      <c r="F142" s="789">
        <v>2112.6021004463728</v>
      </c>
      <c r="G142" s="789">
        <v>2296.3984831852076</v>
      </c>
    </row>
    <row r="143" spans="1:7">
      <c r="A143" s="790">
        <v>7700</v>
      </c>
      <c r="B143" s="789">
        <v>1034.6784019393779</v>
      </c>
      <c r="C143" s="789">
        <v>1479.4159523649109</v>
      </c>
      <c r="D143" s="789">
        <v>1721.2446824684696</v>
      </c>
      <c r="E143" s="789">
        <v>1922.6303103172809</v>
      </c>
      <c r="F143" s="789">
        <v>2114.893341349009</v>
      </c>
      <c r="G143" s="789">
        <v>2298.8890620463726</v>
      </c>
    </row>
    <row r="144" spans="1:7">
      <c r="A144" s="790">
        <v>7750</v>
      </c>
      <c r="B144" s="789">
        <v>1036.169678252156</v>
      </c>
      <c r="C144" s="789">
        <v>1481.279821763839</v>
      </c>
      <c r="D144" s="789">
        <v>1723.1094508436922</v>
      </c>
      <c r="E144" s="789">
        <v>1924.7132565924044</v>
      </c>
      <c r="F144" s="789">
        <v>2117.1845822516448</v>
      </c>
      <c r="G144" s="789">
        <v>2301.3796409075376</v>
      </c>
    </row>
    <row r="145" spans="1:7">
      <c r="A145" s="790">
        <v>7800</v>
      </c>
      <c r="B145" s="789">
        <v>1037.6609545649339</v>
      </c>
      <c r="C145" s="789">
        <v>1483.1436911627668</v>
      </c>
      <c r="D145" s="789">
        <v>1724.9742192189146</v>
      </c>
      <c r="E145" s="789">
        <v>1926.7962028675279</v>
      </c>
      <c r="F145" s="789">
        <v>2119.4758231542805</v>
      </c>
      <c r="G145" s="789">
        <v>2303.870219768703</v>
      </c>
    </row>
    <row r="146" spans="1:7">
      <c r="A146" s="790">
        <v>7850</v>
      </c>
      <c r="B146" s="789">
        <v>1039.1522308777121</v>
      </c>
      <c r="C146" s="789">
        <v>1485.0075605616948</v>
      </c>
      <c r="D146" s="789">
        <v>1726.8389875941371</v>
      </c>
      <c r="E146" s="789">
        <v>1928.8791491426514</v>
      </c>
      <c r="F146" s="789">
        <v>2121.7670640569163</v>
      </c>
      <c r="G146" s="789">
        <v>2306.360798629868</v>
      </c>
    </row>
    <row r="147" spans="1:7">
      <c r="A147" s="790">
        <v>7900</v>
      </c>
      <c r="B147" s="789">
        <v>1040.64350719049</v>
      </c>
      <c r="C147" s="789">
        <v>1486.8714299606227</v>
      </c>
      <c r="D147" s="789">
        <v>1728.7037559693595</v>
      </c>
      <c r="E147" s="789">
        <v>1930.9620954177749</v>
      </c>
      <c r="F147" s="789">
        <v>2124.0583049595521</v>
      </c>
      <c r="G147" s="789">
        <v>2308.8513774910334</v>
      </c>
    </row>
    <row r="148" spans="1:7">
      <c r="A148" s="790">
        <v>7950</v>
      </c>
      <c r="B148" s="789">
        <v>1042.1347835032682</v>
      </c>
      <c r="C148" s="789">
        <v>1488.7352993595505</v>
      </c>
      <c r="D148" s="789">
        <v>1730.5685243445819</v>
      </c>
      <c r="E148" s="789">
        <v>1933.0450416928984</v>
      </c>
      <c r="F148" s="789">
        <v>2126.3495458621878</v>
      </c>
      <c r="G148" s="789">
        <v>2311.3419563521984</v>
      </c>
    </row>
    <row r="149" spans="1:7">
      <c r="A149" s="790">
        <v>8000</v>
      </c>
      <c r="B149" s="789">
        <v>1043.6260598160461</v>
      </c>
      <c r="C149" s="789">
        <v>1490.5991687584785</v>
      </c>
      <c r="D149" s="789">
        <v>1732.4332927198045</v>
      </c>
      <c r="E149" s="789">
        <v>1935.1279879680219</v>
      </c>
      <c r="F149" s="789">
        <v>2128.640786764824</v>
      </c>
      <c r="G149" s="789">
        <v>2313.8325352133638</v>
      </c>
    </row>
    <row r="150" spans="1:7">
      <c r="A150" s="790">
        <v>8050</v>
      </c>
      <c r="B150" s="789">
        <v>1045.1173361288243</v>
      </c>
      <c r="C150" s="789">
        <v>1492.4630381574063</v>
      </c>
      <c r="D150" s="789">
        <v>1734.2980610950269</v>
      </c>
      <c r="E150" s="789">
        <v>1937.2109342431454</v>
      </c>
      <c r="F150" s="789">
        <v>2130.9320276674598</v>
      </c>
      <c r="G150" s="789">
        <v>2316.3231140745288</v>
      </c>
    </row>
    <row r="151" spans="1:7">
      <c r="A151" s="790">
        <v>8100</v>
      </c>
      <c r="B151" s="789">
        <v>1046.6086124416022</v>
      </c>
      <c r="C151" s="789">
        <v>1494.3269075563344</v>
      </c>
      <c r="D151" s="789">
        <v>1736.1628294702496</v>
      </c>
      <c r="E151" s="789">
        <v>1939.2938805182689</v>
      </c>
      <c r="F151" s="789">
        <v>2133.2232685700956</v>
      </c>
      <c r="G151" s="789">
        <v>2318.8136929356938</v>
      </c>
    </row>
    <row r="152" spans="1:7">
      <c r="A152" s="790">
        <v>8150</v>
      </c>
      <c r="B152" s="789">
        <v>1048.0998887543803</v>
      </c>
      <c r="C152" s="789">
        <v>1496.1907769552622</v>
      </c>
      <c r="D152" s="789">
        <v>1738.027597845472</v>
      </c>
      <c r="E152" s="789">
        <v>1941.3768267933924</v>
      </c>
      <c r="F152" s="789">
        <v>2135.5145094727313</v>
      </c>
      <c r="G152" s="789">
        <v>2321.3042717968592</v>
      </c>
    </row>
    <row r="153" spans="1:7">
      <c r="A153" s="790">
        <v>8200</v>
      </c>
      <c r="B153" s="789">
        <v>1049.5911650671583</v>
      </c>
      <c r="C153" s="789">
        <v>1498.05464635419</v>
      </c>
      <c r="D153" s="789">
        <v>1739.8923662206944</v>
      </c>
      <c r="E153" s="789">
        <v>1943.4597730685159</v>
      </c>
      <c r="F153" s="789">
        <v>2137.8057503753671</v>
      </c>
      <c r="G153" s="789">
        <v>2323.7948506580242</v>
      </c>
    </row>
    <row r="154" spans="1:7">
      <c r="A154" s="790">
        <v>8250</v>
      </c>
      <c r="B154" s="789">
        <v>1051.0824413799362</v>
      </c>
      <c r="C154" s="789">
        <v>1499.9185157531178</v>
      </c>
      <c r="D154" s="789">
        <v>1741.7571345959168</v>
      </c>
      <c r="E154" s="789">
        <v>1945.5427193436392</v>
      </c>
      <c r="F154" s="789">
        <v>2140.0969912780033</v>
      </c>
      <c r="G154" s="789">
        <v>2326.2854295191896</v>
      </c>
    </row>
    <row r="155" spans="1:7">
      <c r="A155" s="790">
        <v>8300</v>
      </c>
      <c r="B155" s="789">
        <v>1052.5614301997236</v>
      </c>
      <c r="C155" s="789">
        <v>1501.7670276478873</v>
      </c>
      <c r="D155" s="789">
        <v>1743.6065380597922</v>
      </c>
      <c r="E155" s="789">
        <v>1947.6085030127881</v>
      </c>
      <c r="F155" s="789">
        <v>2142.3693533140668</v>
      </c>
      <c r="G155" s="789">
        <v>2328.7554870523904</v>
      </c>
    </row>
    <row r="156" spans="1:7">
      <c r="A156" s="790">
        <v>8350</v>
      </c>
      <c r="B156" s="789">
        <v>1053.9818171298627</v>
      </c>
      <c r="C156" s="789">
        <v>1503.5422960612855</v>
      </c>
      <c r="D156" s="789">
        <v>1745.3826627157046</v>
      </c>
      <c r="E156" s="789">
        <v>1949.5924342534422</v>
      </c>
      <c r="F156" s="789">
        <v>2144.5516776787863</v>
      </c>
      <c r="G156" s="789">
        <v>2331.1276736368404</v>
      </c>
    </row>
    <row r="157" spans="1:7">
      <c r="A157" s="790">
        <v>8400</v>
      </c>
      <c r="B157" s="789">
        <v>1055.4022040600021</v>
      </c>
      <c r="C157" s="789">
        <v>1505.3175644746836</v>
      </c>
      <c r="D157" s="789">
        <v>1747.1587873716167</v>
      </c>
      <c r="E157" s="789">
        <v>1951.5763654940961</v>
      </c>
      <c r="F157" s="789">
        <v>2146.7340020435058</v>
      </c>
      <c r="G157" s="789">
        <v>2333.4998602212904</v>
      </c>
    </row>
    <row r="158" spans="1:7">
      <c r="A158" s="790">
        <v>8450</v>
      </c>
      <c r="B158" s="789">
        <v>1058.0652780811718</v>
      </c>
      <c r="C158" s="789">
        <v>1508.9286787517485</v>
      </c>
      <c r="D158" s="789">
        <v>1751.1436033753755</v>
      </c>
      <c r="E158" s="789">
        <v>1956.0274049702944</v>
      </c>
      <c r="F158" s="789">
        <v>2151.6301454673239</v>
      </c>
      <c r="G158" s="789">
        <v>2338.8219681229812</v>
      </c>
    </row>
    <row r="159" spans="1:7">
      <c r="A159" s="790">
        <v>8500</v>
      </c>
      <c r="B159" s="789">
        <v>1062.8555244549368</v>
      </c>
      <c r="C159" s="789">
        <v>1515.6823062109379</v>
      </c>
      <c r="D159" s="789">
        <v>1758.9091516362471</v>
      </c>
      <c r="E159" s="789">
        <v>1964.701522377688</v>
      </c>
      <c r="F159" s="789">
        <v>2161.1716746154566</v>
      </c>
      <c r="G159" s="789">
        <v>2349.1936103070016</v>
      </c>
    </row>
    <row r="160" spans="1:7">
      <c r="A160" s="790">
        <v>8550</v>
      </c>
      <c r="B160" s="789">
        <v>1067.6457708287021</v>
      </c>
      <c r="C160" s="789">
        <v>1522.4359336701275</v>
      </c>
      <c r="D160" s="789">
        <v>1766.6746998971189</v>
      </c>
      <c r="E160" s="789">
        <v>1973.3756397850818</v>
      </c>
      <c r="F160" s="789">
        <v>2170.7132037635902</v>
      </c>
      <c r="G160" s="789">
        <v>2359.5652524910224</v>
      </c>
    </row>
    <row r="161" spans="1:7">
      <c r="A161" s="790">
        <v>8600</v>
      </c>
      <c r="B161" s="789">
        <v>1072.4360172024674</v>
      </c>
      <c r="C161" s="789">
        <v>1529.1895611293169</v>
      </c>
      <c r="D161" s="789">
        <v>1774.4402481579905</v>
      </c>
      <c r="E161" s="789">
        <v>1982.0497571924752</v>
      </c>
      <c r="F161" s="789">
        <v>2180.2547329117228</v>
      </c>
      <c r="G161" s="789">
        <v>2369.9368946750428</v>
      </c>
    </row>
    <row r="162" spans="1:7">
      <c r="A162" s="790">
        <v>8650</v>
      </c>
      <c r="B162" s="789">
        <v>1077.2262635762327</v>
      </c>
      <c r="C162" s="789">
        <v>1535.9431885885065</v>
      </c>
      <c r="D162" s="789">
        <v>1782.2057964188623</v>
      </c>
      <c r="E162" s="789">
        <v>1990.7238745998691</v>
      </c>
      <c r="F162" s="789">
        <v>2189.796262059856</v>
      </c>
      <c r="G162" s="789">
        <v>2380.3085368590637</v>
      </c>
    </row>
    <row r="163" spans="1:7">
      <c r="A163" s="790">
        <v>8700</v>
      </c>
      <c r="B163" s="789">
        <v>1082.016509949998</v>
      </c>
      <c r="C163" s="789">
        <v>1542.6968160476961</v>
      </c>
      <c r="D163" s="789">
        <v>1789.9713446797341</v>
      </c>
      <c r="E163" s="789">
        <v>1999.3979920072629</v>
      </c>
      <c r="F163" s="789">
        <v>2199.3377912079895</v>
      </c>
      <c r="G163" s="789">
        <v>2390.6801790430845</v>
      </c>
    </row>
    <row r="164" spans="1:7">
      <c r="A164" s="790">
        <v>8750</v>
      </c>
      <c r="B164" s="789">
        <v>1086.8067563237632</v>
      </c>
      <c r="C164" s="789">
        <v>1549.4504435068857</v>
      </c>
      <c r="D164" s="789">
        <v>1797.7368929406061</v>
      </c>
      <c r="E164" s="789">
        <v>2008.0721094146568</v>
      </c>
      <c r="F164" s="789">
        <v>2208.8793203561227</v>
      </c>
      <c r="G164" s="789">
        <v>2401.0518212271054</v>
      </c>
    </row>
    <row r="165" spans="1:7">
      <c r="A165" s="790">
        <v>8800</v>
      </c>
      <c r="B165" s="789">
        <v>1091.5970026975285</v>
      </c>
      <c r="C165" s="789">
        <v>1556.2040709660751</v>
      </c>
      <c r="D165" s="789">
        <v>1805.502441201478</v>
      </c>
      <c r="E165" s="789">
        <v>2016.7462268220506</v>
      </c>
      <c r="F165" s="789">
        <v>2218.4208495042558</v>
      </c>
      <c r="G165" s="789">
        <v>2411.4234634111262</v>
      </c>
    </row>
    <row r="166" spans="1:7">
      <c r="A166" s="790">
        <v>8850</v>
      </c>
      <c r="B166" s="789">
        <v>1096.3872490712936</v>
      </c>
      <c r="C166" s="789">
        <v>1562.9576984252644</v>
      </c>
      <c r="D166" s="789">
        <v>1813.2679894623495</v>
      </c>
      <c r="E166" s="789">
        <v>2025.4203442294443</v>
      </c>
      <c r="F166" s="789">
        <v>2227.9623786523889</v>
      </c>
      <c r="G166" s="789">
        <v>2421.7951055951467</v>
      </c>
    </row>
    <row r="167" spans="1:7">
      <c r="A167" s="790">
        <v>8900</v>
      </c>
      <c r="B167" s="789">
        <v>1101.1774954450589</v>
      </c>
      <c r="C167" s="789">
        <v>1569.711325884454</v>
      </c>
      <c r="D167" s="789">
        <v>1821.0335377232213</v>
      </c>
      <c r="E167" s="789">
        <v>2034.0944616368381</v>
      </c>
      <c r="F167" s="789">
        <v>2237.503907800522</v>
      </c>
      <c r="G167" s="789">
        <v>2432.1667477791675</v>
      </c>
    </row>
    <row r="168" spans="1:7">
      <c r="A168" s="790">
        <v>8950</v>
      </c>
      <c r="B168" s="789">
        <v>1105.9677418188242</v>
      </c>
      <c r="C168" s="789">
        <v>1576.4649533436436</v>
      </c>
      <c r="D168" s="789">
        <v>1828.7990859840932</v>
      </c>
      <c r="E168" s="789">
        <v>2042.768579044232</v>
      </c>
      <c r="F168" s="789">
        <v>2247.0454369486552</v>
      </c>
      <c r="G168" s="789">
        <v>2442.5383899631884</v>
      </c>
    </row>
    <row r="169" spans="1:7">
      <c r="A169" s="790">
        <v>9000</v>
      </c>
      <c r="B169" s="789">
        <v>1110.7579881925892</v>
      </c>
      <c r="C169" s="789">
        <v>1583.218580802833</v>
      </c>
      <c r="D169" s="789">
        <v>1836.5646342449647</v>
      </c>
      <c r="E169" s="789">
        <v>2051.4426964516256</v>
      </c>
      <c r="F169" s="789">
        <v>2256.5869660967883</v>
      </c>
      <c r="G169" s="789">
        <v>2452.9100321472088</v>
      </c>
    </row>
    <row r="170" spans="1:7">
      <c r="A170" s="790">
        <v>9050</v>
      </c>
      <c r="B170" s="789">
        <v>1115.5482345663545</v>
      </c>
      <c r="C170" s="789">
        <v>1589.9722082620226</v>
      </c>
      <c r="D170" s="789">
        <v>1844.3301825058365</v>
      </c>
      <c r="E170" s="789">
        <v>2060.1168138590192</v>
      </c>
      <c r="F170" s="789">
        <v>2266.1284952449214</v>
      </c>
      <c r="G170" s="789">
        <v>2463.2816743312296</v>
      </c>
    </row>
    <row r="171" spans="1:7">
      <c r="A171" s="790">
        <v>9100</v>
      </c>
      <c r="B171" s="789">
        <v>1120.33848094012</v>
      </c>
      <c r="C171" s="789">
        <v>1596.7258357212122</v>
      </c>
      <c r="D171" s="789">
        <v>1852.0957307667084</v>
      </c>
      <c r="E171" s="789">
        <v>2068.7909312664133</v>
      </c>
      <c r="F171" s="789">
        <v>2275.6700243930545</v>
      </c>
      <c r="G171" s="789">
        <v>2473.6533165152505</v>
      </c>
    </row>
    <row r="172" spans="1:7">
      <c r="A172" s="790">
        <v>9150</v>
      </c>
      <c r="B172" s="789">
        <v>1125.1287273138851</v>
      </c>
      <c r="C172" s="789">
        <v>1603.4794631804018</v>
      </c>
      <c r="D172" s="789">
        <v>1859.8612790275802</v>
      </c>
      <c r="E172" s="789">
        <v>2077.4650486738069</v>
      </c>
      <c r="F172" s="789">
        <v>2285.2115535411876</v>
      </c>
      <c r="G172" s="789">
        <v>2484.0249586992713</v>
      </c>
    </row>
    <row r="173" spans="1:7">
      <c r="A173" s="790">
        <v>9200</v>
      </c>
      <c r="B173" s="789">
        <v>1129.9189736876504</v>
      </c>
      <c r="C173" s="789">
        <v>1610.2330906395912</v>
      </c>
      <c r="D173" s="789">
        <v>1867.6268272884518</v>
      </c>
      <c r="E173" s="789">
        <v>2086.1391660812005</v>
      </c>
      <c r="F173" s="789">
        <v>2294.7530826893208</v>
      </c>
      <c r="G173" s="789">
        <v>2494.3966008832917</v>
      </c>
    </row>
    <row r="174" spans="1:7">
      <c r="A174" s="790">
        <v>9250</v>
      </c>
      <c r="B174" s="789">
        <v>1133.6685018206465</v>
      </c>
      <c r="C174" s="789">
        <v>1615.5457796277399</v>
      </c>
      <c r="D174" s="789">
        <v>1873.7732931097646</v>
      </c>
      <c r="E174" s="789">
        <v>2093.0047684036072</v>
      </c>
      <c r="F174" s="789">
        <v>2302.3052452439683</v>
      </c>
      <c r="G174" s="789">
        <v>2502.6058015801932</v>
      </c>
    </row>
    <row r="175" spans="1:7">
      <c r="A175" s="790">
        <v>9300</v>
      </c>
      <c r="B175" s="789">
        <v>1136.7334756668913</v>
      </c>
      <c r="C175" s="789">
        <v>1619.9106610646666</v>
      </c>
      <c r="D175" s="789">
        <v>1878.8547734420322</v>
      </c>
      <c r="E175" s="789">
        <v>2098.68078193475</v>
      </c>
      <c r="F175" s="789">
        <v>2308.5488601282254</v>
      </c>
      <c r="G175" s="789">
        <v>2509.3926109593808</v>
      </c>
    </row>
    <row r="176" spans="1:7">
      <c r="A176" s="790">
        <v>9350</v>
      </c>
      <c r="B176" s="789">
        <v>1139.7984495131361</v>
      </c>
      <c r="C176" s="789">
        <v>1624.275542501593</v>
      </c>
      <c r="D176" s="789">
        <v>1883.9362537742998</v>
      </c>
      <c r="E176" s="789">
        <v>2104.3567954658929</v>
      </c>
      <c r="F176" s="789">
        <v>2314.7924750124826</v>
      </c>
      <c r="G176" s="789">
        <v>2516.1794203385684</v>
      </c>
    </row>
    <row r="177" spans="1:7">
      <c r="A177" s="790">
        <v>9400</v>
      </c>
      <c r="B177" s="789">
        <v>1142.8634233593809</v>
      </c>
      <c r="C177" s="789">
        <v>1628.6404239385195</v>
      </c>
      <c r="D177" s="789">
        <v>1889.0177341065673</v>
      </c>
      <c r="E177" s="789">
        <v>2110.0328089970358</v>
      </c>
      <c r="F177" s="789">
        <v>2321.0360898967401</v>
      </c>
      <c r="G177" s="789">
        <v>2522.9662297177561</v>
      </c>
    </row>
    <row r="178" spans="1:7">
      <c r="A178" s="790">
        <v>9450</v>
      </c>
      <c r="B178" s="789">
        <v>1145.9283972056255</v>
      </c>
      <c r="C178" s="789">
        <v>1633.0053053754459</v>
      </c>
      <c r="D178" s="789">
        <v>1894.0992144388349</v>
      </c>
      <c r="E178" s="789">
        <v>2115.7088225281786</v>
      </c>
      <c r="F178" s="789">
        <v>2327.2797047809968</v>
      </c>
      <c r="G178" s="789">
        <v>2529.7530390969432</v>
      </c>
    </row>
    <row r="179" spans="1:7">
      <c r="A179" s="790">
        <v>9500</v>
      </c>
      <c r="B179" s="789">
        <v>1148.9933710518703</v>
      </c>
      <c r="C179" s="789">
        <v>1637.3701868123724</v>
      </c>
      <c r="D179" s="789">
        <v>1899.1806947711025</v>
      </c>
      <c r="E179" s="789">
        <v>2121.3848360593215</v>
      </c>
      <c r="F179" s="789">
        <v>2333.5233196652543</v>
      </c>
      <c r="G179" s="789">
        <v>2536.5398484761308</v>
      </c>
    </row>
    <row r="180" spans="1:7">
      <c r="A180" s="790">
        <v>9550</v>
      </c>
      <c r="B180" s="789">
        <v>1152.0583448981151</v>
      </c>
      <c r="C180" s="789">
        <v>1641.7350682492988</v>
      </c>
      <c r="D180" s="789">
        <v>1904.2621751033701</v>
      </c>
      <c r="E180" s="789">
        <v>2127.0608495904644</v>
      </c>
      <c r="F180" s="789">
        <v>2339.7669345495115</v>
      </c>
      <c r="G180" s="789">
        <v>2543.3266578553184</v>
      </c>
    </row>
    <row r="181" spans="1:7">
      <c r="A181" s="790">
        <v>9600</v>
      </c>
      <c r="B181" s="789">
        <v>1155.1233187443597</v>
      </c>
      <c r="C181" s="789">
        <v>1646.0999496862253</v>
      </c>
      <c r="D181" s="789">
        <v>1909.3436554356376</v>
      </c>
      <c r="E181" s="789">
        <v>2132.7368631216073</v>
      </c>
      <c r="F181" s="789">
        <v>2346.0105494337686</v>
      </c>
      <c r="G181" s="789">
        <v>2550.1134672345061</v>
      </c>
    </row>
    <row r="182" spans="1:7">
      <c r="A182" s="790">
        <v>9650</v>
      </c>
      <c r="B182" s="789">
        <v>1158.1882925906045</v>
      </c>
      <c r="C182" s="789">
        <v>1650.4648311231517</v>
      </c>
      <c r="D182" s="789">
        <v>1914.4251357679052</v>
      </c>
      <c r="E182" s="789">
        <v>2138.4128766527501</v>
      </c>
      <c r="F182" s="789">
        <v>2352.2541643180257</v>
      </c>
      <c r="G182" s="789">
        <v>2556.9002766136937</v>
      </c>
    </row>
    <row r="183" spans="1:7">
      <c r="A183" s="790">
        <v>9700</v>
      </c>
      <c r="B183" s="789">
        <v>1161.2532664368493</v>
      </c>
      <c r="C183" s="789">
        <v>1654.8297125600784</v>
      </c>
      <c r="D183" s="789">
        <v>1919.5066161001728</v>
      </c>
      <c r="E183" s="789">
        <v>2144.088890183893</v>
      </c>
      <c r="F183" s="789">
        <v>2358.4977792022828</v>
      </c>
      <c r="G183" s="789">
        <v>2563.6870859928813</v>
      </c>
    </row>
    <row r="184" spans="1:7">
      <c r="A184" s="790">
        <v>9750</v>
      </c>
      <c r="B184" s="789">
        <v>1164.3182402830942</v>
      </c>
      <c r="C184" s="789">
        <v>1659.1945939970049</v>
      </c>
      <c r="D184" s="789">
        <v>1924.5880964324404</v>
      </c>
      <c r="E184" s="789">
        <v>2149.7649037150363</v>
      </c>
      <c r="F184" s="789">
        <v>2364.7413940865399</v>
      </c>
      <c r="G184" s="789">
        <v>2570.4738953720689</v>
      </c>
    </row>
    <row r="185" spans="1:7">
      <c r="A185" s="790">
        <v>9800</v>
      </c>
      <c r="B185" s="789">
        <v>1167.6993485137461</v>
      </c>
      <c r="C185" s="789">
        <v>1664.0096877930887</v>
      </c>
      <c r="D185" s="789">
        <v>1930.1937021691342</v>
      </c>
      <c r="E185" s="789">
        <v>2156.0263653229231</v>
      </c>
      <c r="F185" s="789">
        <v>2371.6290018552158</v>
      </c>
      <c r="G185" s="789">
        <v>2577.9607250166191</v>
      </c>
    </row>
    <row r="186" spans="1:7">
      <c r="A186" s="790">
        <v>9850</v>
      </c>
      <c r="B186" s="789">
        <v>1171.0804567443979</v>
      </c>
      <c r="C186" s="789">
        <v>1668.8247815891723</v>
      </c>
      <c r="D186" s="789">
        <v>1935.7993079058278</v>
      </c>
      <c r="E186" s="789">
        <v>2162.2878269308098</v>
      </c>
      <c r="F186" s="789">
        <v>2378.5166096238913</v>
      </c>
      <c r="G186" s="789">
        <v>2585.4475546611693</v>
      </c>
    </row>
    <row r="187" spans="1:7">
      <c r="A187" s="790">
        <v>9900</v>
      </c>
      <c r="B187" s="789">
        <v>1174.4615649750499</v>
      </c>
      <c r="C187" s="789">
        <v>1673.6398753852561</v>
      </c>
      <c r="D187" s="789">
        <v>1941.4049136425215</v>
      </c>
      <c r="E187" s="789">
        <v>2168.5492885386966</v>
      </c>
      <c r="F187" s="789">
        <v>2385.4042173925668</v>
      </c>
      <c r="G187" s="789">
        <v>2592.93438430572</v>
      </c>
    </row>
    <row r="188" spans="1:7">
      <c r="A188" s="790">
        <v>9950</v>
      </c>
      <c r="B188" s="789">
        <v>1177.8426732057019</v>
      </c>
      <c r="C188" s="789">
        <v>1678.4549691813397</v>
      </c>
      <c r="D188" s="789">
        <v>1947.0105193792153</v>
      </c>
      <c r="E188" s="789">
        <v>2174.8107501465838</v>
      </c>
      <c r="F188" s="789">
        <v>2392.2918251612423</v>
      </c>
      <c r="G188" s="789">
        <v>2600.4212139502702</v>
      </c>
    </row>
    <row r="189" spans="1:7">
      <c r="A189" s="790">
        <v>10000</v>
      </c>
      <c r="B189" s="789">
        <v>1181.2237814363539</v>
      </c>
      <c r="C189" s="789">
        <v>1683.2700629774235</v>
      </c>
      <c r="D189" s="789">
        <v>1952.6161251159092</v>
      </c>
      <c r="E189" s="789">
        <v>2181.0722117544706</v>
      </c>
      <c r="F189" s="789">
        <v>2399.1794329299182</v>
      </c>
      <c r="G189" s="789">
        <v>2607.9080435948208</v>
      </c>
    </row>
    <row r="190" spans="1:7">
      <c r="A190" s="790">
        <v>10050</v>
      </c>
      <c r="B190" s="789">
        <v>1184.6048896670059</v>
      </c>
      <c r="C190" s="789">
        <v>1688.0851567735074</v>
      </c>
      <c r="D190" s="789">
        <v>1958.2217308526031</v>
      </c>
      <c r="E190" s="789">
        <v>2187.3336733623578</v>
      </c>
      <c r="F190" s="789">
        <v>2406.0670406985942</v>
      </c>
      <c r="G190" s="789">
        <v>2615.3948732393715</v>
      </c>
    </row>
    <row r="191" spans="1:7">
      <c r="A191" s="790">
        <v>10100</v>
      </c>
      <c r="B191" s="789">
        <v>1187.9859978976579</v>
      </c>
      <c r="C191" s="789">
        <v>1692.900250569591</v>
      </c>
      <c r="D191" s="789">
        <v>1963.8273365892967</v>
      </c>
      <c r="E191" s="789">
        <v>2193.5951349702445</v>
      </c>
      <c r="F191" s="789">
        <v>2412.9546484672696</v>
      </c>
      <c r="G191" s="789">
        <v>2622.8817028839217</v>
      </c>
    </row>
    <row r="192" spans="1:7">
      <c r="A192" s="790">
        <v>10150</v>
      </c>
      <c r="B192" s="789">
        <v>1191.3671061283098</v>
      </c>
      <c r="C192" s="789">
        <v>1697.7153443656748</v>
      </c>
      <c r="D192" s="789">
        <v>1969.4329423259906</v>
      </c>
      <c r="E192" s="789">
        <v>2199.8565965781318</v>
      </c>
      <c r="F192" s="789">
        <v>2419.8422562359451</v>
      </c>
      <c r="G192" s="789">
        <v>2630.3685325284719</v>
      </c>
    </row>
    <row r="193" spans="1:7">
      <c r="A193" s="790">
        <v>10200</v>
      </c>
      <c r="B193" s="789">
        <v>1194.7482143589618</v>
      </c>
      <c r="C193" s="789">
        <v>1702.5304381617586</v>
      </c>
      <c r="D193" s="789">
        <v>1975.0385480626842</v>
      </c>
      <c r="E193" s="789">
        <v>2206.1180581860185</v>
      </c>
      <c r="F193" s="789">
        <v>2426.7298640046206</v>
      </c>
      <c r="G193" s="789">
        <v>2637.8553621730225</v>
      </c>
    </row>
    <row r="194" spans="1:7">
      <c r="A194" s="790">
        <v>10250</v>
      </c>
      <c r="B194" s="789">
        <v>1198.1293225896136</v>
      </c>
      <c r="C194" s="789">
        <v>1707.3455319578422</v>
      </c>
      <c r="D194" s="789">
        <v>1980.644153799378</v>
      </c>
      <c r="E194" s="789">
        <v>2212.3795197939053</v>
      </c>
      <c r="F194" s="789">
        <v>2433.6174717732965</v>
      </c>
      <c r="G194" s="789">
        <v>2645.3421918175727</v>
      </c>
    </row>
    <row r="195" spans="1:7">
      <c r="A195" s="790">
        <v>10300</v>
      </c>
      <c r="B195" s="789">
        <v>1201.5104308202658</v>
      </c>
      <c r="C195" s="789">
        <v>1712.1606257539261</v>
      </c>
      <c r="D195" s="789">
        <v>1986.2497595360719</v>
      </c>
      <c r="E195" s="789">
        <v>2218.6409814017925</v>
      </c>
      <c r="F195" s="789">
        <v>2440.505079541972</v>
      </c>
      <c r="G195" s="789">
        <v>2652.8290214621234</v>
      </c>
    </row>
    <row r="196" spans="1:7">
      <c r="A196" s="790">
        <v>10350</v>
      </c>
      <c r="B196" s="789">
        <v>1204.7545389740403</v>
      </c>
      <c r="C196" s="789">
        <v>1716.7609431157393</v>
      </c>
      <c r="D196" s="789">
        <v>1991.5808762906377</v>
      </c>
      <c r="E196" s="789">
        <v>2224.5958388166423</v>
      </c>
      <c r="F196" s="789">
        <v>2447.0554226983063</v>
      </c>
      <c r="G196" s="789">
        <v>2659.949244473059</v>
      </c>
    </row>
    <row r="197" spans="1:7">
      <c r="A197" s="790">
        <v>10400</v>
      </c>
      <c r="B197" s="789">
        <v>1207.3510898529382</v>
      </c>
      <c r="C197" s="789">
        <v>1720.3460782553643</v>
      </c>
      <c r="D197" s="789">
        <v>1995.6145679539022</v>
      </c>
      <c r="E197" s="789">
        <v>2229.101472404509</v>
      </c>
      <c r="F197" s="789">
        <v>2452.0116196449594</v>
      </c>
      <c r="G197" s="789">
        <v>2665.3366305540712</v>
      </c>
    </row>
    <row r="198" spans="1:7">
      <c r="A198" s="790">
        <v>10450</v>
      </c>
      <c r="B198" s="789">
        <v>1209.9476407318361</v>
      </c>
      <c r="C198" s="789">
        <v>1723.9312133949895</v>
      </c>
      <c r="D198" s="789">
        <v>1999.648259617167</v>
      </c>
      <c r="E198" s="789">
        <v>2233.6071059923756</v>
      </c>
      <c r="F198" s="789">
        <v>2456.967816591613</v>
      </c>
      <c r="G198" s="789">
        <v>2670.7240166350834</v>
      </c>
    </row>
    <row r="199" spans="1:7">
      <c r="A199" s="790">
        <v>10500</v>
      </c>
      <c r="B199" s="789">
        <v>1212.5441916107341</v>
      </c>
      <c r="C199" s="789">
        <v>1727.5163485346145</v>
      </c>
      <c r="D199" s="789">
        <v>2003.6819512804316</v>
      </c>
      <c r="E199" s="789">
        <v>2238.1127395802423</v>
      </c>
      <c r="F199" s="789">
        <v>2461.9240135382661</v>
      </c>
      <c r="G199" s="789">
        <v>2676.1114027160957</v>
      </c>
    </row>
    <row r="200" spans="1:7">
      <c r="A200" s="790">
        <v>10550</v>
      </c>
      <c r="B200" s="789">
        <v>1215.140742489632</v>
      </c>
      <c r="C200" s="789">
        <v>1731.1014836742397</v>
      </c>
      <c r="D200" s="789">
        <v>2007.7156429436964</v>
      </c>
      <c r="E200" s="789">
        <v>2242.618373168109</v>
      </c>
      <c r="F200" s="789">
        <v>2466.8802104849196</v>
      </c>
      <c r="G200" s="789">
        <v>2681.4987887971079</v>
      </c>
    </row>
    <row r="201" spans="1:7">
      <c r="A201" s="790">
        <v>10600</v>
      </c>
      <c r="B201" s="789">
        <v>1217.7372933685297</v>
      </c>
      <c r="C201" s="789">
        <v>1734.6866188138649</v>
      </c>
      <c r="D201" s="789">
        <v>2011.7493346069612</v>
      </c>
      <c r="E201" s="789">
        <v>2247.1240067559756</v>
      </c>
      <c r="F201" s="789">
        <v>2471.8364074315728</v>
      </c>
      <c r="G201" s="789">
        <v>2686.8861748781201</v>
      </c>
    </row>
    <row r="202" spans="1:7">
      <c r="A202" s="790">
        <v>10650</v>
      </c>
      <c r="B202" s="789">
        <v>1220.3338442474278</v>
      </c>
      <c r="C202" s="789">
        <v>1738.2717539534901</v>
      </c>
      <c r="D202" s="789">
        <v>2015.7830262702259</v>
      </c>
      <c r="E202" s="789">
        <v>2251.6296403438423</v>
      </c>
      <c r="F202" s="789">
        <v>2476.7926043782263</v>
      </c>
      <c r="G202" s="789">
        <v>2692.2735609591323</v>
      </c>
    </row>
    <row r="203" spans="1:7">
      <c r="A203" s="790">
        <v>10700</v>
      </c>
      <c r="B203" s="789">
        <v>1222.9303951263255</v>
      </c>
      <c r="C203" s="789">
        <v>1741.8568890931151</v>
      </c>
      <c r="D203" s="789">
        <v>2019.8167179334907</v>
      </c>
      <c r="E203" s="789">
        <v>2256.135273931709</v>
      </c>
      <c r="F203" s="789">
        <v>2481.7488013248799</v>
      </c>
      <c r="G203" s="789">
        <v>2697.6609470401445</v>
      </c>
    </row>
    <row r="204" spans="1:7">
      <c r="A204" s="790">
        <v>10750</v>
      </c>
      <c r="B204" s="789">
        <v>1225.5269460052234</v>
      </c>
      <c r="C204" s="789">
        <v>1745.4420242327403</v>
      </c>
      <c r="D204" s="789">
        <v>2023.8504095967553</v>
      </c>
      <c r="E204" s="789">
        <v>2260.6409075195756</v>
      </c>
      <c r="F204" s="789">
        <v>2486.704998271533</v>
      </c>
      <c r="G204" s="789">
        <v>2703.0483331211567</v>
      </c>
    </row>
    <row r="205" spans="1:7">
      <c r="A205" s="790">
        <v>10800</v>
      </c>
      <c r="B205" s="789">
        <v>1228.1234968841213</v>
      </c>
      <c r="C205" s="789">
        <v>1749.0271593723653</v>
      </c>
      <c r="D205" s="789">
        <v>2027.8841012600201</v>
      </c>
      <c r="E205" s="789">
        <v>2265.1465411074423</v>
      </c>
      <c r="F205" s="789">
        <v>2491.6611952181865</v>
      </c>
      <c r="G205" s="789">
        <v>2708.4357192021689</v>
      </c>
    </row>
    <row r="206" spans="1:7">
      <c r="A206" s="790">
        <v>10850</v>
      </c>
      <c r="B206" s="789">
        <v>1230.7200477630192</v>
      </c>
      <c r="C206" s="789">
        <v>1752.6122945119905</v>
      </c>
      <c r="D206" s="789">
        <v>2031.9177929232849</v>
      </c>
      <c r="E206" s="789">
        <v>2269.652174695309</v>
      </c>
      <c r="F206" s="789">
        <v>2496.6173921648397</v>
      </c>
      <c r="G206" s="789">
        <v>2713.8231052831811</v>
      </c>
    </row>
    <row r="207" spans="1:7">
      <c r="A207" s="790">
        <v>10900</v>
      </c>
      <c r="B207" s="789">
        <v>1233.3165986419172</v>
      </c>
      <c r="C207" s="789">
        <v>1756.1974296516157</v>
      </c>
      <c r="D207" s="789">
        <v>2035.9514845865494</v>
      </c>
      <c r="E207" s="789">
        <v>2274.1578082831757</v>
      </c>
      <c r="F207" s="789">
        <v>2501.5735891114932</v>
      </c>
      <c r="G207" s="789">
        <v>2719.2104913641933</v>
      </c>
    </row>
    <row r="208" spans="1:7">
      <c r="A208" s="790">
        <v>10950</v>
      </c>
      <c r="B208" s="789">
        <v>1235.9131495208148</v>
      </c>
      <c r="C208" s="789">
        <v>1759.7825647912409</v>
      </c>
      <c r="D208" s="789">
        <v>2039.9851762498142</v>
      </c>
      <c r="E208" s="789">
        <v>2278.6634418710423</v>
      </c>
      <c r="F208" s="789">
        <v>2506.5297860581463</v>
      </c>
      <c r="G208" s="789">
        <v>2724.5978774452055</v>
      </c>
    </row>
    <row r="209" spans="1:7">
      <c r="A209" s="790">
        <v>11000</v>
      </c>
      <c r="B209" s="789">
        <v>1238.509700399713</v>
      </c>
      <c r="C209" s="789">
        <v>1763.3676999308661</v>
      </c>
      <c r="D209" s="789">
        <v>2044.018867913079</v>
      </c>
      <c r="E209" s="789">
        <v>2283.169075458909</v>
      </c>
      <c r="F209" s="789">
        <v>2511.4859830047999</v>
      </c>
      <c r="G209" s="789">
        <v>2729.9852635262178</v>
      </c>
    </row>
    <row r="210" spans="1:7">
      <c r="A210" s="790">
        <v>11050</v>
      </c>
      <c r="B210" s="789">
        <v>1241.1062512786107</v>
      </c>
      <c r="C210" s="789">
        <v>1766.9528350704911</v>
      </c>
      <c r="D210" s="789">
        <v>2048.0525595763438</v>
      </c>
      <c r="E210" s="789">
        <v>2287.6747090467757</v>
      </c>
      <c r="F210" s="789">
        <v>2516.4421799514535</v>
      </c>
      <c r="G210" s="789">
        <v>2735.37264960723</v>
      </c>
    </row>
    <row r="211" spans="1:7">
      <c r="A211" s="790">
        <v>11100</v>
      </c>
      <c r="B211" s="789">
        <v>1243.7028021575086</v>
      </c>
      <c r="C211" s="789">
        <v>1770.5379702101163</v>
      </c>
      <c r="D211" s="789">
        <v>2052.0862512396084</v>
      </c>
      <c r="E211" s="789">
        <v>2292.1803426346423</v>
      </c>
      <c r="F211" s="789">
        <v>2521.3983768981066</v>
      </c>
      <c r="G211" s="789">
        <v>2740.7600356882422</v>
      </c>
    </row>
    <row r="212" spans="1:7">
      <c r="A212" s="790">
        <v>11150</v>
      </c>
      <c r="B212" s="789">
        <v>1246.2993530364065</v>
      </c>
      <c r="C212" s="789">
        <v>1774.1231053497413</v>
      </c>
      <c r="D212" s="789">
        <v>2056.1199429028729</v>
      </c>
      <c r="E212" s="789">
        <v>2296.685976222509</v>
      </c>
      <c r="F212" s="789">
        <v>2526.3545738447601</v>
      </c>
      <c r="G212" s="789">
        <v>2746.1474217692544</v>
      </c>
    </row>
    <row r="213" spans="1:7">
      <c r="A213" s="790">
        <v>11200</v>
      </c>
      <c r="B213" s="789">
        <v>1248.8959039153044</v>
      </c>
      <c r="C213" s="789">
        <v>1777.7082404893665</v>
      </c>
      <c r="D213" s="789">
        <v>2060.153634566138</v>
      </c>
      <c r="E213" s="789">
        <v>2301.1916098103757</v>
      </c>
      <c r="F213" s="789">
        <v>2531.3107707914132</v>
      </c>
      <c r="G213" s="789">
        <v>2751.5348078502666</v>
      </c>
    </row>
    <row r="214" spans="1:7">
      <c r="A214" s="790">
        <v>11250</v>
      </c>
      <c r="B214" s="789">
        <v>1251.4924547942023</v>
      </c>
      <c r="C214" s="789">
        <v>1781.2933756289917</v>
      </c>
      <c r="D214" s="789">
        <v>2064.1873262294025</v>
      </c>
      <c r="E214" s="789">
        <v>2305.6972433982428</v>
      </c>
      <c r="F214" s="789">
        <v>2536.2669677380668</v>
      </c>
      <c r="G214" s="789">
        <v>2756.9221939312788</v>
      </c>
    </row>
    <row r="215" spans="1:7">
      <c r="A215" s="790">
        <v>11300</v>
      </c>
      <c r="B215" s="789">
        <v>1254.0890056731002</v>
      </c>
      <c r="C215" s="789">
        <v>1784.8785107686169</v>
      </c>
      <c r="D215" s="789">
        <v>2068.2210178926675</v>
      </c>
      <c r="E215" s="789">
        <v>2310.2028769861095</v>
      </c>
      <c r="F215" s="789">
        <v>2541.2231646847204</v>
      </c>
      <c r="G215" s="789">
        <v>2762.309580012291</v>
      </c>
    </row>
    <row r="216" spans="1:7">
      <c r="A216" s="790">
        <v>11350</v>
      </c>
      <c r="B216" s="789">
        <v>1256.6855565519979</v>
      </c>
      <c r="C216" s="789">
        <v>1788.4636459082419</v>
      </c>
      <c r="D216" s="789">
        <v>2072.2547095559321</v>
      </c>
      <c r="E216" s="789">
        <v>2314.7085105739761</v>
      </c>
      <c r="F216" s="789">
        <v>2546.1793616313735</v>
      </c>
      <c r="G216" s="789">
        <v>2767.6969660933032</v>
      </c>
    </row>
    <row r="217" spans="1:7">
      <c r="A217" s="790">
        <v>11400</v>
      </c>
      <c r="B217" s="789">
        <v>1259.2821074308958</v>
      </c>
      <c r="C217" s="789">
        <v>1792.0487810478671</v>
      </c>
      <c r="D217" s="789">
        <v>2076.2884012191967</v>
      </c>
      <c r="E217" s="789">
        <v>2319.2141441618428</v>
      </c>
      <c r="F217" s="789">
        <v>2551.135558578027</v>
      </c>
      <c r="G217" s="789">
        <v>2773.0843521743154</v>
      </c>
    </row>
    <row r="218" spans="1:7">
      <c r="A218" s="790">
        <v>11450</v>
      </c>
      <c r="B218" s="789">
        <v>1261.8786583097938</v>
      </c>
      <c r="C218" s="789">
        <v>1795.6339161874921</v>
      </c>
      <c r="D218" s="789">
        <v>2080.3220928824612</v>
      </c>
      <c r="E218" s="789">
        <v>2323.7197777497095</v>
      </c>
      <c r="F218" s="789">
        <v>2556.0917555246801</v>
      </c>
      <c r="G218" s="789">
        <v>2778.4717382553276</v>
      </c>
    </row>
    <row r="219" spans="1:7">
      <c r="A219" s="790">
        <v>11500</v>
      </c>
      <c r="B219" s="789">
        <v>1264.4752091886917</v>
      </c>
      <c r="C219" s="789">
        <v>1799.2190513271173</v>
      </c>
      <c r="D219" s="789">
        <v>2084.3557845457262</v>
      </c>
      <c r="E219" s="789">
        <v>2328.2254113375761</v>
      </c>
      <c r="F219" s="789">
        <v>2561.0479524713337</v>
      </c>
      <c r="G219" s="789">
        <v>2783.8591243363398</v>
      </c>
    </row>
    <row r="220" spans="1:7">
      <c r="A220" s="790">
        <v>11550</v>
      </c>
      <c r="B220" s="789">
        <v>1267.0717600675896</v>
      </c>
      <c r="C220" s="789">
        <v>1802.8041864667425</v>
      </c>
      <c r="D220" s="789">
        <v>2088.3894762089908</v>
      </c>
      <c r="E220" s="789">
        <v>2332.7310449254428</v>
      </c>
      <c r="F220" s="789">
        <v>2566.0041494179868</v>
      </c>
      <c r="G220" s="789">
        <v>2789.2465104173521</v>
      </c>
    </row>
    <row r="221" spans="1:7">
      <c r="A221" s="790">
        <v>11600</v>
      </c>
      <c r="B221" s="789">
        <v>1269.6683109464875</v>
      </c>
      <c r="C221" s="789">
        <v>1806.3893216063677</v>
      </c>
      <c r="D221" s="789">
        <v>2092.4231678722558</v>
      </c>
      <c r="E221" s="789">
        <v>2337.2366785133095</v>
      </c>
      <c r="F221" s="789">
        <v>2570.9603463646404</v>
      </c>
      <c r="G221" s="789">
        <v>2794.6338964983643</v>
      </c>
    </row>
    <row r="222" spans="1:7">
      <c r="A222" s="790">
        <v>11650</v>
      </c>
      <c r="B222" s="789">
        <v>1272.2648618253854</v>
      </c>
      <c r="C222" s="789">
        <v>1809.9744567459927</v>
      </c>
      <c r="D222" s="789">
        <v>2096.4568595355204</v>
      </c>
      <c r="E222" s="789">
        <v>2341.7423121011761</v>
      </c>
      <c r="F222" s="789">
        <v>2575.9165433112935</v>
      </c>
      <c r="G222" s="789">
        <v>2800.0212825793765</v>
      </c>
    </row>
    <row r="223" spans="1:7">
      <c r="A223" s="790">
        <v>11700</v>
      </c>
      <c r="B223" s="789">
        <v>1274.8614127042833</v>
      </c>
      <c r="C223" s="789">
        <v>1813.5595918856179</v>
      </c>
      <c r="D223" s="789">
        <v>2100.4905511987849</v>
      </c>
      <c r="E223" s="789">
        <v>2346.2479456890428</v>
      </c>
      <c r="F223" s="789">
        <v>2580.872740257947</v>
      </c>
      <c r="G223" s="789">
        <v>2805.4086686603887</v>
      </c>
    </row>
    <row r="224" spans="1:7">
      <c r="A224" s="790">
        <v>11750</v>
      </c>
      <c r="B224" s="789">
        <v>1277.457963583181</v>
      </c>
      <c r="C224" s="789">
        <v>1817.1447270252429</v>
      </c>
      <c r="D224" s="789">
        <v>2104.5242428620495</v>
      </c>
      <c r="E224" s="789">
        <v>2350.7535792769095</v>
      </c>
      <c r="F224" s="789">
        <v>2585.8289372046002</v>
      </c>
      <c r="G224" s="789">
        <v>2810.7960547414004</v>
      </c>
    </row>
    <row r="225" spans="1:7">
      <c r="A225" s="790">
        <v>11800</v>
      </c>
      <c r="B225" s="789">
        <v>1280.2413389693515</v>
      </c>
      <c r="C225" s="789">
        <v>1821.0614868918508</v>
      </c>
      <c r="D225" s="789">
        <v>2109.008035940979</v>
      </c>
      <c r="E225" s="789">
        <v>2355.7619761460737</v>
      </c>
      <c r="F225" s="789">
        <v>2591.338173760681</v>
      </c>
      <c r="G225" s="789">
        <v>2816.7845948778604</v>
      </c>
    </row>
    <row r="226" spans="1:7">
      <c r="A226" s="790">
        <v>11850</v>
      </c>
      <c r="B226" s="789">
        <v>1283.1536351267923</v>
      </c>
      <c r="C226" s="789">
        <v>1825.2070888745125</v>
      </c>
      <c r="D226" s="789">
        <v>2113.8024275730886</v>
      </c>
      <c r="E226" s="789">
        <v>2361.1173115991396</v>
      </c>
      <c r="F226" s="789">
        <v>2597.2290427590542</v>
      </c>
      <c r="G226" s="789">
        <v>2823.1879694790914</v>
      </c>
    </row>
    <row r="227" spans="1:7">
      <c r="A227" s="790">
        <v>11900</v>
      </c>
      <c r="B227" s="789">
        <v>1286.0659312842333</v>
      </c>
      <c r="C227" s="789">
        <v>1829.3526908571744</v>
      </c>
      <c r="D227" s="789">
        <v>2118.5968192051982</v>
      </c>
      <c r="E227" s="789">
        <v>2366.4726470522064</v>
      </c>
      <c r="F227" s="789">
        <v>2603.119911757427</v>
      </c>
      <c r="G227" s="789">
        <v>2829.5913440803233</v>
      </c>
    </row>
    <row r="228" spans="1:7">
      <c r="A228" s="790">
        <v>11950</v>
      </c>
      <c r="B228" s="789">
        <v>1288.9782274416741</v>
      </c>
      <c r="C228" s="789">
        <v>1833.498292839836</v>
      </c>
      <c r="D228" s="789">
        <v>2123.3912108373074</v>
      </c>
      <c r="E228" s="789">
        <v>2371.8279825052728</v>
      </c>
      <c r="F228" s="789">
        <v>2609.0107807558002</v>
      </c>
      <c r="G228" s="789">
        <v>2835.9947186815543</v>
      </c>
    </row>
    <row r="229" spans="1:7">
      <c r="A229" s="790">
        <v>12000</v>
      </c>
      <c r="B229" s="789">
        <v>1291.8905235991149</v>
      </c>
      <c r="C229" s="789">
        <v>1837.6438948224977</v>
      </c>
      <c r="D229" s="789">
        <v>2128.1856024694171</v>
      </c>
      <c r="E229" s="789">
        <v>2377.1833179583386</v>
      </c>
      <c r="F229" s="789">
        <v>2614.9016497541729</v>
      </c>
      <c r="G229" s="789">
        <v>2842.3980932827858</v>
      </c>
    </row>
    <row r="230" spans="1:7">
      <c r="A230" s="790">
        <v>12050</v>
      </c>
      <c r="B230" s="789">
        <v>1294.8028197565559</v>
      </c>
      <c r="C230" s="789">
        <v>1841.7894968051596</v>
      </c>
      <c r="D230" s="789">
        <v>2132.9799941015267</v>
      </c>
      <c r="E230" s="789">
        <v>2382.538653411405</v>
      </c>
      <c r="F230" s="789">
        <v>2620.7925187525461</v>
      </c>
      <c r="G230" s="789">
        <v>2848.8014678840173</v>
      </c>
    </row>
    <row r="231" spans="1:7">
      <c r="A231" s="790">
        <v>12100</v>
      </c>
      <c r="B231" s="789">
        <v>1297.7151159139969</v>
      </c>
      <c r="C231" s="789">
        <v>1845.9350987878215</v>
      </c>
      <c r="D231" s="789">
        <v>2137.7743857336363</v>
      </c>
      <c r="E231" s="789">
        <v>2387.8939888644718</v>
      </c>
      <c r="F231" s="789">
        <v>2626.6833877509189</v>
      </c>
      <c r="G231" s="789">
        <v>2855.2048424852487</v>
      </c>
    </row>
    <row r="232" spans="1:7">
      <c r="A232" s="790">
        <v>12150</v>
      </c>
      <c r="B232" s="789">
        <v>1300.6274120714377</v>
      </c>
      <c r="C232" s="789">
        <v>1850.0807007704832</v>
      </c>
      <c r="D232" s="789">
        <v>2142.5687773657455</v>
      </c>
      <c r="E232" s="789">
        <v>2393.2493243175377</v>
      </c>
      <c r="F232" s="789">
        <v>2632.5742567492916</v>
      </c>
      <c r="G232" s="789">
        <v>2861.6082170864802</v>
      </c>
    </row>
    <row r="233" spans="1:7">
      <c r="A233" s="790">
        <v>12200</v>
      </c>
      <c r="B233" s="789">
        <v>1303.5397082288785</v>
      </c>
      <c r="C233" s="789">
        <v>1854.2263027531449</v>
      </c>
      <c r="D233" s="789">
        <v>2147.3631689978552</v>
      </c>
      <c r="E233" s="789">
        <v>2398.604659770604</v>
      </c>
      <c r="F233" s="789">
        <v>2638.4651257476648</v>
      </c>
      <c r="G233" s="789">
        <v>2868.0115916877116</v>
      </c>
    </row>
    <row r="234" spans="1:7">
      <c r="A234" s="790">
        <v>12250</v>
      </c>
      <c r="B234" s="789">
        <v>1306.4520043863195</v>
      </c>
      <c r="C234" s="789">
        <v>1858.3719047358068</v>
      </c>
      <c r="D234" s="789">
        <v>2152.1575606299648</v>
      </c>
      <c r="E234" s="789">
        <v>2403.9599952236708</v>
      </c>
      <c r="F234" s="789">
        <v>2644.355994746038</v>
      </c>
      <c r="G234" s="789">
        <v>2874.4149662889431</v>
      </c>
    </row>
    <row r="235" spans="1:7">
      <c r="A235" s="790">
        <v>12300</v>
      </c>
      <c r="B235" s="789">
        <v>1309.3643005437602</v>
      </c>
      <c r="C235" s="789">
        <v>1862.5175067184684</v>
      </c>
      <c r="D235" s="789">
        <v>2156.951952262074</v>
      </c>
      <c r="E235" s="789">
        <v>2409.3153306767367</v>
      </c>
      <c r="F235" s="789">
        <v>2650.2468637444108</v>
      </c>
      <c r="G235" s="789">
        <v>2880.8183408901746</v>
      </c>
    </row>
    <row r="236" spans="1:7">
      <c r="A236" s="790">
        <v>12350</v>
      </c>
      <c r="B236" s="789">
        <v>1312.2765967012012</v>
      </c>
      <c r="C236" s="789">
        <v>1866.6631087011303</v>
      </c>
      <c r="D236" s="789">
        <v>2161.7463438941836</v>
      </c>
      <c r="E236" s="789">
        <v>2414.6706661298031</v>
      </c>
      <c r="F236" s="789">
        <v>2656.137732742784</v>
      </c>
      <c r="G236" s="789">
        <v>2887.221715491406</v>
      </c>
    </row>
    <row r="237" spans="1:7">
      <c r="A237" s="790">
        <v>12400</v>
      </c>
      <c r="B237" s="789">
        <v>1315.1888928586422</v>
      </c>
      <c r="C237" s="789">
        <v>1870.8087106837922</v>
      </c>
      <c r="D237" s="789">
        <v>2166.5407355262932</v>
      </c>
      <c r="E237" s="789">
        <v>2420.0260015828699</v>
      </c>
      <c r="F237" s="789">
        <v>2662.0286017411568</v>
      </c>
      <c r="G237" s="789">
        <v>2893.6250900926375</v>
      </c>
    </row>
    <row r="238" spans="1:7">
      <c r="A238" s="790">
        <v>12450</v>
      </c>
      <c r="B238" s="789">
        <v>1318.101189016083</v>
      </c>
      <c r="C238" s="789">
        <v>1874.9543126664539</v>
      </c>
      <c r="D238" s="789">
        <v>2171.3351271584029</v>
      </c>
      <c r="E238" s="789">
        <v>2425.3813370359358</v>
      </c>
      <c r="F238" s="789">
        <v>2667.91947073953</v>
      </c>
      <c r="G238" s="789">
        <v>2900.0284646938685</v>
      </c>
    </row>
    <row r="239" spans="1:7">
      <c r="A239" s="790">
        <v>12500</v>
      </c>
      <c r="B239" s="789">
        <v>1321.0134851735238</v>
      </c>
      <c r="C239" s="789">
        <v>1879.0999146491156</v>
      </c>
      <c r="D239" s="789">
        <v>2176.1295187905125</v>
      </c>
      <c r="E239" s="789">
        <v>2430.7366724890026</v>
      </c>
      <c r="F239" s="789">
        <v>2673.8103397379027</v>
      </c>
      <c r="G239" s="789">
        <v>2906.4318392951004</v>
      </c>
    </row>
    <row r="240" spans="1:7">
      <c r="A240" s="790">
        <v>12550</v>
      </c>
      <c r="B240" s="789">
        <v>1323.9126055076013</v>
      </c>
      <c r="C240" s="789">
        <v>1883.2267610806568</v>
      </c>
      <c r="D240" s="789">
        <v>2180.9022196144538</v>
      </c>
      <c r="E240" s="789">
        <v>2436.0677793093446</v>
      </c>
      <c r="F240" s="789">
        <v>2679.6745572402792</v>
      </c>
      <c r="G240" s="789">
        <v>2912.8062437201834</v>
      </c>
    </row>
    <row r="241" spans="1:7">
      <c r="A241" s="790">
        <v>12600</v>
      </c>
      <c r="B241" s="789">
        <v>1326.8117258416787</v>
      </c>
      <c r="C241" s="789">
        <v>1887.3536075121983</v>
      </c>
      <c r="D241" s="789">
        <v>2185.674920438395</v>
      </c>
      <c r="E241" s="789">
        <v>2441.3988861296875</v>
      </c>
      <c r="F241" s="789">
        <v>2685.5387747426562</v>
      </c>
      <c r="G241" s="789">
        <v>2919.1806481452672</v>
      </c>
    </row>
    <row r="242" spans="1:7">
      <c r="A242" s="790">
        <v>12650</v>
      </c>
      <c r="B242" s="789">
        <v>1329.7108461757562</v>
      </c>
      <c r="C242" s="789">
        <v>1891.4804539437398</v>
      </c>
      <c r="D242" s="789">
        <v>2190.4476212623367</v>
      </c>
      <c r="E242" s="789">
        <v>2446.72999295003</v>
      </c>
      <c r="F242" s="789">
        <v>2691.4029922450331</v>
      </c>
      <c r="G242" s="789">
        <v>2925.5550525703511</v>
      </c>
    </row>
    <row r="243" spans="1:7">
      <c r="A243" s="790">
        <v>12700</v>
      </c>
      <c r="B243" s="789">
        <v>1332.6099665098336</v>
      </c>
      <c r="C243" s="789">
        <v>1895.6073003752811</v>
      </c>
      <c r="D243" s="789">
        <v>2195.220322086278</v>
      </c>
      <c r="E243" s="789">
        <v>2452.0610997703725</v>
      </c>
      <c r="F243" s="789">
        <v>2697.2672097474097</v>
      </c>
      <c r="G243" s="789">
        <v>2931.9294569954345</v>
      </c>
    </row>
    <row r="244" spans="1:7">
      <c r="A244" s="790">
        <v>12750</v>
      </c>
      <c r="B244" s="789">
        <v>1335.5090868439108</v>
      </c>
      <c r="C244" s="789">
        <v>1899.7341468068221</v>
      </c>
      <c r="D244" s="789">
        <v>2199.9930229102192</v>
      </c>
      <c r="E244" s="789">
        <v>2457.3922065907145</v>
      </c>
      <c r="F244" s="789">
        <v>2703.1314272497866</v>
      </c>
      <c r="G244" s="789">
        <v>2938.3038614205175</v>
      </c>
    </row>
    <row r="245" spans="1:7">
      <c r="A245" s="790">
        <v>12800</v>
      </c>
      <c r="B245" s="789">
        <v>1338.4082071779885</v>
      </c>
      <c r="C245" s="789">
        <v>1903.8609932383636</v>
      </c>
      <c r="D245" s="789">
        <v>2204.7657237341605</v>
      </c>
      <c r="E245" s="789">
        <v>2462.7233134110575</v>
      </c>
      <c r="F245" s="789">
        <v>2708.9956447521631</v>
      </c>
      <c r="G245" s="789">
        <v>2944.6782658456013</v>
      </c>
    </row>
    <row r="246" spans="1:7">
      <c r="A246" s="790">
        <v>12850</v>
      </c>
      <c r="B246" s="789">
        <v>1341.3073275120657</v>
      </c>
      <c r="C246" s="789">
        <v>1907.9878396699048</v>
      </c>
      <c r="D246" s="789">
        <v>2209.5384245581017</v>
      </c>
      <c r="E246" s="789">
        <v>2468.0544202313995</v>
      </c>
      <c r="F246" s="789">
        <v>2714.8598622545401</v>
      </c>
      <c r="G246" s="789">
        <v>2951.0526702706848</v>
      </c>
    </row>
    <row r="247" spans="1:7">
      <c r="A247" s="790">
        <v>12900</v>
      </c>
      <c r="B247" s="789">
        <v>1344.2064478461432</v>
      </c>
      <c r="C247" s="789">
        <v>1912.1146861014461</v>
      </c>
      <c r="D247" s="789">
        <v>2214.311125382043</v>
      </c>
      <c r="E247" s="789">
        <v>2473.385527051742</v>
      </c>
      <c r="F247" s="789">
        <v>2720.7240797569166</v>
      </c>
      <c r="G247" s="789">
        <v>2957.4270746957682</v>
      </c>
    </row>
    <row r="248" spans="1:7">
      <c r="A248" s="790">
        <v>12950</v>
      </c>
      <c r="B248" s="789">
        <v>1347.1055681802206</v>
      </c>
      <c r="C248" s="789">
        <v>1916.2415325329875</v>
      </c>
      <c r="D248" s="789">
        <v>2219.0838262059842</v>
      </c>
      <c r="E248" s="789">
        <v>2478.7166338720845</v>
      </c>
      <c r="F248" s="789">
        <v>2726.5882972592935</v>
      </c>
      <c r="G248" s="789">
        <v>2963.8014791208516</v>
      </c>
    </row>
    <row r="249" spans="1:7">
      <c r="A249" s="790">
        <v>13000</v>
      </c>
      <c r="B249" s="789">
        <v>1350.0046885142979</v>
      </c>
      <c r="C249" s="789">
        <v>1920.3683789645286</v>
      </c>
      <c r="D249" s="789">
        <v>2223.8565270299255</v>
      </c>
      <c r="E249" s="789">
        <v>2484.0477406924269</v>
      </c>
      <c r="F249" s="789">
        <v>2732.45251476167</v>
      </c>
      <c r="G249" s="789">
        <v>2970.175883545935</v>
      </c>
    </row>
    <row r="250" spans="1:7">
      <c r="A250" s="790">
        <v>13050</v>
      </c>
      <c r="B250" s="789">
        <v>1352.9038088483753</v>
      </c>
      <c r="C250" s="789">
        <v>1924.4952253960698</v>
      </c>
      <c r="D250" s="789">
        <v>2228.6292278538667</v>
      </c>
      <c r="E250" s="789">
        <v>2489.3788475127694</v>
      </c>
      <c r="F250" s="789">
        <v>2738.3167322640465</v>
      </c>
      <c r="G250" s="789">
        <v>2976.5502879710184</v>
      </c>
    </row>
    <row r="251" spans="1:7">
      <c r="A251" s="790">
        <v>13100</v>
      </c>
      <c r="B251" s="789">
        <v>1355.8029291824528</v>
      </c>
      <c r="C251" s="789">
        <v>1928.6220718276113</v>
      </c>
      <c r="D251" s="789">
        <v>2233.4019286778084</v>
      </c>
      <c r="E251" s="789">
        <v>2494.7099543331119</v>
      </c>
      <c r="F251" s="789">
        <v>2744.1809497664235</v>
      </c>
      <c r="G251" s="789">
        <v>2982.9246923961023</v>
      </c>
    </row>
    <row r="252" spans="1:7">
      <c r="A252" s="790">
        <v>13150</v>
      </c>
      <c r="B252" s="789">
        <v>1358.7020495165302</v>
      </c>
      <c r="C252" s="789">
        <v>1932.7489182591528</v>
      </c>
      <c r="D252" s="789">
        <v>2238.1746295017497</v>
      </c>
      <c r="E252" s="789">
        <v>2500.0410611534544</v>
      </c>
      <c r="F252" s="789">
        <v>2750.0451672688005</v>
      </c>
      <c r="G252" s="789">
        <v>2989.2990968211857</v>
      </c>
    </row>
    <row r="253" spans="1:7">
      <c r="A253" s="790">
        <v>13200</v>
      </c>
      <c r="B253" s="789">
        <v>1361.6011698506077</v>
      </c>
      <c r="C253" s="789">
        <v>1936.8757646906938</v>
      </c>
      <c r="D253" s="789">
        <v>2242.9473303256909</v>
      </c>
      <c r="E253" s="789">
        <v>2505.3721679737969</v>
      </c>
      <c r="F253" s="789">
        <v>2755.909384771177</v>
      </c>
      <c r="G253" s="789">
        <v>2995.6735012462691</v>
      </c>
    </row>
    <row r="254" spans="1:7">
      <c r="A254" s="790">
        <v>13250</v>
      </c>
      <c r="B254" s="789">
        <v>1364.5002901846849</v>
      </c>
      <c r="C254" s="789">
        <v>1941.0026111222351</v>
      </c>
      <c r="D254" s="789">
        <v>2247.7200311496322</v>
      </c>
      <c r="E254" s="789">
        <v>2510.7032747941394</v>
      </c>
      <c r="F254" s="789">
        <v>2761.7736022735535</v>
      </c>
      <c r="G254" s="789">
        <v>3002.0479056713525</v>
      </c>
    </row>
    <row r="255" spans="1:7">
      <c r="A255" s="790">
        <v>13300</v>
      </c>
      <c r="B255" s="789">
        <v>1367.3994105187626</v>
      </c>
      <c r="C255" s="789">
        <v>1945.1294575537765</v>
      </c>
      <c r="D255" s="789">
        <v>2252.4927319735739</v>
      </c>
      <c r="E255" s="789">
        <v>2516.0343816144818</v>
      </c>
      <c r="F255" s="789">
        <v>2767.6378197759304</v>
      </c>
      <c r="G255" s="789">
        <v>3008.4223100964364</v>
      </c>
    </row>
    <row r="256" spans="1:7">
      <c r="A256" s="790">
        <v>13350</v>
      </c>
      <c r="B256" s="789">
        <v>1370.2985308528398</v>
      </c>
      <c r="C256" s="789">
        <v>1949.2563039853178</v>
      </c>
      <c r="D256" s="789">
        <v>2257.2654327975151</v>
      </c>
      <c r="E256" s="789">
        <v>2521.3654884348243</v>
      </c>
      <c r="F256" s="789">
        <v>2773.5020372783069</v>
      </c>
      <c r="G256" s="789">
        <v>3014.7967145215193</v>
      </c>
    </row>
    <row r="257" spans="1:7">
      <c r="A257" s="790">
        <v>13400</v>
      </c>
      <c r="B257" s="789">
        <v>1373.1976511869173</v>
      </c>
      <c r="C257" s="789">
        <v>1953.3831504168591</v>
      </c>
      <c r="D257" s="789">
        <v>2262.0381336214564</v>
      </c>
      <c r="E257" s="789">
        <v>2526.6965952551664</v>
      </c>
      <c r="F257" s="789">
        <v>2779.3662547806834</v>
      </c>
      <c r="G257" s="789">
        <v>3021.1711189466027</v>
      </c>
    </row>
    <row r="258" spans="1:7">
      <c r="A258" s="790">
        <v>13450</v>
      </c>
      <c r="B258" s="789">
        <v>1376.0967715209947</v>
      </c>
      <c r="C258" s="789">
        <v>1957.5099968484003</v>
      </c>
      <c r="D258" s="789">
        <v>2266.8108344453976</v>
      </c>
      <c r="E258" s="789">
        <v>2532.0277020755093</v>
      </c>
      <c r="F258" s="789">
        <v>2785.2304722830604</v>
      </c>
      <c r="G258" s="789">
        <v>3027.5455233716866</v>
      </c>
    </row>
    <row r="259" spans="1:7">
      <c r="A259" s="790">
        <v>13500</v>
      </c>
      <c r="B259" s="789">
        <v>1378.9958918550722</v>
      </c>
      <c r="C259" s="789">
        <v>1961.6368432799418</v>
      </c>
      <c r="D259" s="789">
        <v>2271.5835352693393</v>
      </c>
      <c r="E259" s="789">
        <v>2537.3588088958518</v>
      </c>
      <c r="F259" s="789">
        <v>2791.0946897854374</v>
      </c>
      <c r="G259" s="789">
        <v>3033.91992779677</v>
      </c>
    </row>
    <row r="260" spans="1:7">
      <c r="A260" s="790">
        <v>13550</v>
      </c>
      <c r="B260" s="789">
        <v>1381.8950121891494</v>
      </c>
      <c r="C260" s="789">
        <v>1965.763689711483</v>
      </c>
      <c r="D260" s="789">
        <v>2276.3562360932806</v>
      </c>
      <c r="E260" s="789">
        <v>2542.6899157161943</v>
      </c>
      <c r="F260" s="789">
        <v>2796.9589072878139</v>
      </c>
      <c r="G260" s="789">
        <v>3040.2943322218534</v>
      </c>
    </row>
    <row r="261" spans="1:7">
      <c r="A261" s="790">
        <v>13600</v>
      </c>
      <c r="B261" s="789">
        <v>1384.7941325232268</v>
      </c>
      <c r="C261" s="789">
        <v>1969.8905361430243</v>
      </c>
      <c r="D261" s="789">
        <v>2281.1289369172218</v>
      </c>
      <c r="E261" s="789">
        <v>2548.0210225365367</v>
      </c>
      <c r="F261" s="789">
        <v>2802.8231247901904</v>
      </c>
      <c r="G261" s="789">
        <v>3046.6687366469368</v>
      </c>
    </row>
    <row r="262" spans="1:7">
      <c r="A262" s="790">
        <v>13650</v>
      </c>
      <c r="B262" s="789">
        <v>1387.6932528573043</v>
      </c>
      <c r="C262" s="789">
        <v>1974.0173825745658</v>
      </c>
      <c r="D262" s="789">
        <v>2285.9016377411631</v>
      </c>
      <c r="E262" s="789">
        <v>2553.3521293568792</v>
      </c>
      <c r="F262" s="789">
        <v>2808.6873422925673</v>
      </c>
      <c r="G262" s="789">
        <v>3053.0431410720207</v>
      </c>
    </row>
    <row r="263" spans="1:7">
      <c r="A263" s="790">
        <v>13700</v>
      </c>
      <c r="B263" s="789">
        <v>1390.5923731913817</v>
      </c>
      <c r="C263" s="789">
        <v>1978.144229006107</v>
      </c>
      <c r="D263" s="789">
        <v>2290.6743385651048</v>
      </c>
      <c r="E263" s="789">
        <v>2558.6832361772217</v>
      </c>
      <c r="F263" s="789">
        <v>2814.5515597949443</v>
      </c>
      <c r="G263" s="789">
        <v>3059.4175454971041</v>
      </c>
    </row>
    <row r="264" spans="1:7">
      <c r="A264" s="790">
        <v>13750</v>
      </c>
      <c r="B264" s="789">
        <v>1393.4914935254592</v>
      </c>
      <c r="C264" s="789">
        <v>1982.2710754376483</v>
      </c>
      <c r="D264" s="789">
        <v>2295.447039389046</v>
      </c>
      <c r="E264" s="789">
        <v>2564.0143429975642</v>
      </c>
      <c r="F264" s="789">
        <v>2820.4157772973208</v>
      </c>
      <c r="G264" s="789">
        <v>3065.7919499221875</v>
      </c>
    </row>
    <row r="265" spans="1:7">
      <c r="A265" s="790">
        <v>13800</v>
      </c>
      <c r="B265" s="789">
        <v>1396.3906138595366</v>
      </c>
      <c r="C265" s="789">
        <v>1986.3979218691895</v>
      </c>
      <c r="D265" s="789">
        <v>2300.2197402129868</v>
      </c>
      <c r="E265" s="789">
        <v>2569.3454498179067</v>
      </c>
      <c r="F265" s="789">
        <v>2826.2799947996973</v>
      </c>
      <c r="G265" s="789">
        <v>3072.166354347271</v>
      </c>
    </row>
    <row r="266" spans="1:7">
      <c r="A266" s="790">
        <v>13850</v>
      </c>
      <c r="B266" s="789">
        <v>1399.2897341936141</v>
      </c>
      <c r="C266" s="789">
        <v>1990.524768300731</v>
      </c>
      <c r="D266" s="789">
        <v>2304.9924410369285</v>
      </c>
      <c r="E266" s="789">
        <v>2574.6765566382492</v>
      </c>
      <c r="F266" s="789">
        <v>2832.1442123020743</v>
      </c>
      <c r="G266" s="789">
        <v>3078.5407587723548</v>
      </c>
    </row>
    <row r="267" spans="1:7">
      <c r="A267" s="790">
        <v>13900</v>
      </c>
      <c r="B267" s="789">
        <v>1402.1888545276913</v>
      </c>
      <c r="C267" s="789">
        <v>1994.6516147322723</v>
      </c>
      <c r="D267" s="789">
        <v>2309.7651418608698</v>
      </c>
      <c r="E267" s="789">
        <v>2580.0076634585917</v>
      </c>
      <c r="F267" s="789">
        <v>2838.0084298044508</v>
      </c>
      <c r="G267" s="789">
        <v>3084.9151631974382</v>
      </c>
    </row>
    <row r="268" spans="1:7">
      <c r="A268" s="790">
        <v>13950</v>
      </c>
      <c r="B268" s="789">
        <v>1405.0879748617688</v>
      </c>
      <c r="C268" s="789">
        <v>1998.7784611638133</v>
      </c>
      <c r="D268" s="789">
        <v>2314.537842684811</v>
      </c>
      <c r="E268" s="789">
        <v>2585.3387702789337</v>
      </c>
      <c r="F268" s="789">
        <v>2843.8726473068277</v>
      </c>
      <c r="G268" s="789">
        <v>3091.2895676225212</v>
      </c>
    </row>
    <row r="269" spans="1:7">
      <c r="A269" s="790">
        <v>14000</v>
      </c>
      <c r="B269" s="789">
        <v>1407.9870951958462</v>
      </c>
      <c r="C269" s="789">
        <v>2002.9053075953548</v>
      </c>
      <c r="D269" s="789">
        <v>2319.3105435087523</v>
      </c>
      <c r="E269" s="789">
        <v>2590.6698770992766</v>
      </c>
      <c r="F269" s="789">
        <v>2849.7368648092042</v>
      </c>
      <c r="G269" s="789">
        <v>3097.6639720476051</v>
      </c>
    </row>
    <row r="270" spans="1:7">
      <c r="A270" s="790">
        <v>14050</v>
      </c>
      <c r="B270" s="789">
        <v>1410.8862155299234</v>
      </c>
      <c r="C270" s="789">
        <v>2007.032154026896</v>
      </c>
      <c r="D270" s="789">
        <v>2324.0832443326935</v>
      </c>
      <c r="E270" s="789">
        <v>2596.0009839196186</v>
      </c>
      <c r="F270" s="789">
        <v>2855.6010823115812</v>
      </c>
      <c r="G270" s="789">
        <v>3104.0383764726885</v>
      </c>
    </row>
    <row r="271" spans="1:7">
      <c r="A271" s="790">
        <v>14100</v>
      </c>
      <c r="B271" s="789">
        <v>1413.7853358640011</v>
      </c>
      <c r="C271" s="789">
        <v>2011.1590004584375</v>
      </c>
      <c r="D271" s="789">
        <v>2328.8559451566352</v>
      </c>
      <c r="E271" s="789">
        <v>2601.3320907399616</v>
      </c>
      <c r="F271" s="789">
        <v>2861.4652998139582</v>
      </c>
      <c r="G271" s="789">
        <v>3110.4127808977719</v>
      </c>
    </row>
    <row r="272" spans="1:7">
      <c r="A272" s="790">
        <v>14150</v>
      </c>
      <c r="B272" s="789">
        <v>1416.6844561980784</v>
      </c>
      <c r="C272" s="789">
        <v>2015.2858468899785</v>
      </c>
      <c r="D272" s="789">
        <v>2333.6286459805765</v>
      </c>
      <c r="E272" s="789">
        <v>2606.6631975603036</v>
      </c>
      <c r="F272" s="789">
        <v>2867.3295173163347</v>
      </c>
      <c r="G272" s="789">
        <v>3116.7871853228553</v>
      </c>
    </row>
    <row r="273" spans="1:7">
      <c r="A273" s="790">
        <v>14200</v>
      </c>
      <c r="B273" s="789">
        <v>1419.5835765321558</v>
      </c>
      <c r="C273" s="789">
        <v>2019.41269332152</v>
      </c>
      <c r="D273" s="789">
        <v>2338.4013468045177</v>
      </c>
      <c r="E273" s="789">
        <v>2611.9943043806466</v>
      </c>
      <c r="F273" s="789">
        <v>2873.1937348187112</v>
      </c>
      <c r="G273" s="789">
        <v>3123.1615897479392</v>
      </c>
    </row>
    <row r="274" spans="1:7">
      <c r="A274" s="790">
        <v>14250</v>
      </c>
      <c r="B274" s="789">
        <v>1422.4826968662333</v>
      </c>
      <c r="C274" s="789">
        <v>2023.5395397530613</v>
      </c>
      <c r="D274" s="789">
        <v>2343.174047628459</v>
      </c>
      <c r="E274" s="789">
        <v>2617.325411200989</v>
      </c>
      <c r="F274" s="789">
        <v>2879.0579523210881</v>
      </c>
      <c r="G274" s="789">
        <v>3129.5359941730226</v>
      </c>
    </row>
    <row r="275" spans="1:7">
      <c r="A275" s="790">
        <v>14300</v>
      </c>
      <c r="B275" s="789">
        <v>1425.3818172003107</v>
      </c>
      <c r="C275" s="789">
        <v>2027.6663861846025</v>
      </c>
      <c r="D275" s="789">
        <v>2347.9467484524002</v>
      </c>
      <c r="E275" s="789">
        <v>2622.6565180213311</v>
      </c>
      <c r="F275" s="789">
        <v>2884.9221698234646</v>
      </c>
      <c r="G275" s="789">
        <v>3135.910398598106</v>
      </c>
    </row>
    <row r="276" spans="1:7">
      <c r="A276" s="790">
        <v>14350</v>
      </c>
      <c r="B276" s="789">
        <v>1428.2809375343882</v>
      </c>
      <c r="C276" s="789">
        <v>2031.793232616144</v>
      </c>
      <c r="D276" s="789">
        <v>2352.7194492763419</v>
      </c>
      <c r="E276" s="789">
        <v>2627.987624841674</v>
      </c>
      <c r="F276" s="789">
        <v>2890.7863873258416</v>
      </c>
      <c r="G276" s="789">
        <v>3142.2848030231894</v>
      </c>
    </row>
    <row r="277" spans="1:7">
      <c r="A277" s="790">
        <v>14400</v>
      </c>
      <c r="B277" s="789">
        <v>1431.1800578684656</v>
      </c>
      <c r="C277" s="789">
        <v>2035.9200790476852</v>
      </c>
      <c r="D277" s="789">
        <v>2357.4921501002832</v>
      </c>
      <c r="E277" s="789">
        <v>2633.3187316620165</v>
      </c>
      <c r="F277" s="789">
        <v>2896.6506048282185</v>
      </c>
      <c r="G277" s="789">
        <v>3148.6592074482733</v>
      </c>
    </row>
    <row r="278" spans="1:7">
      <c r="A278" s="790">
        <v>14450</v>
      </c>
      <c r="B278" s="789">
        <v>1434.0791782025428</v>
      </c>
      <c r="C278" s="789">
        <v>2040.0469254792265</v>
      </c>
      <c r="D278" s="789">
        <v>2362.2648509242244</v>
      </c>
      <c r="E278" s="789">
        <v>2638.649838482359</v>
      </c>
      <c r="F278" s="789">
        <v>2902.5148223305951</v>
      </c>
      <c r="G278" s="789">
        <v>3155.0336118733567</v>
      </c>
    </row>
    <row r="279" spans="1:7">
      <c r="A279" s="790">
        <v>14500</v>
      </c>
      <c r="B279" s="789">
        <v>1436.9782985366203</v>
      </c>
      <c r="C279" s="789">
        <v>2044.1737719107678</v>
      </c>
      <c r="D279" s="789">
        <v>2367.0375517481657</v>
      </c>
      <c r="E279" s="789">
        <v>2643.980945302701</v>
      </c>
      <c r="F279" s="789">
        <v>2908.3790398329716</v>
      </c>
      <c r="G279" s="789">
        <v>3161.4080162984401</v>
      </c>
    </row>
    <row r="280" spans="1:7">
      <c r="A280" s="790">
        <v>14550</v>
      </c>
      <c r="B280" s="789">
        <v>1439.8774188706977</v>
      </c>
      <c r="C280" s="789">
        <v>2048.300618342309</v>
      </c>
      <c r="D280" s="789">
        <v>2371.8102525721069</v>
      </c>
      <c r="E280" s="789">
        <v>2649.3120521230439</v>
      </c>
      <c r="F280" s="789">
        <v>2914.2432573353485</v>
      </c>
      <c r="G280" s="789">
        <v>3167.7824207235235</v>
      </c>
    </row>
    <row r="281" spans="1:7">
      <c r="A281" s="790">
        <v>14600</v>
      </c>
      <c r="B281" s="789">
        <v>1442.7765392047752</v>
      </c>
      <c r="C281" s="789">
        <v>2052.4274647738503</v>
      </c>
      <c r="D281" s="789">
        <v>2376.5829533960487</v>
      </c>
      <c r="E281" s="789">
        <v>2654.643158943386</v>
      </c>
      <c r="F281" s="789">
        <v>2920.107474837725</v>
      </c>
      <c r="G281" s="789">
        <v>3174.1568251486069</v>
      </c>
    </row>
    <row r="282" spans="1:7">
      <c r="A282" s="790">
        <v>14650</v>
      </c>
      <c r="B282" s="789">
        <v>1445.6606499208619</v>
      </c>
      <c r="C282" s="789">
        <v>2056.4853404747905</v>
      </c>
      <c r="D282" s="789">
        <v>2381.234404762612</v>
      </c>
      <c r="E282" s="789">
        <v>2659.8388301198379</v>
      </c>
      <c r="F282" s="789">
        <v>2925.8227131318222</v>
      </c>
      <c r="G282" s="789">
        <v>3180.3692891742908</v>
      </c>
    </row>
    <row r="283" spans="1:7">
      <c r="A283" s="790">
        <v>14700</v>
      </c>
      <c r="B283" s="789">
        <v>1448.4951710635266</v>
      </c>
      <c r="C283" s="789">
        <v>2060.3153470113557</v>
      </c>
      <c r="D283" s="789">
        <v>2385.4852657295564</v>
      </c>
      <c r="E283" s="789">
        <v>2664.5870418199142</v>
      </c>
      <c r="F283" s="789">
        <v>2931.0457460019065</v>
      </c>
      <c r="G283" s="789">
        <v>3186.046725904072</v>
      </c>
    </row>
    <row r="284" spans="1:7">
      <c r="A284" s="790">
        <v>14750</v>
      </c>
      <c r="B284" s="789">
        <v>1451.3296922061913</v>
      </c>
      <c r="C284" s="789">
        <v>2064.1453535479209</v>
      </c>
      <c r="D284" s="789">
        <v>2389.7361266965004</v>
      </c>
      <c r="E284" s="789">
        <v>2669.3352535199911</v>
      </c>
      <c r="F284" s="789">
        <v>2936.2687788719909</v>
      </c>
      <c r="G284" s="789">
        <v>3191.7241626338537</v>
      </c>
    </row>
    <row r="285" spans="1:7">
      <c r="A285" s="790">
        <v>14800</v>
      </c>
      <c r="B285" s="789">
        <v>1454.1642133488558</v>
      </c>
      <c r="C285" s="789">
        <v>2067.9753600844861</v>
      </c>
      <c r="D285" s="789">
        <v>2393.9869876634443</v>
      </c>
      <c r="E285" s="789">
        <v>2674.083465220067</v>
      </c>
      <c r="F285" s="789">
        <v>2941.4918117420748</v>
      </c>
      <c r="G285" s="789">
        <v>3197.4015993636349</v>
      </c>
    </row>
    <row r="286" spans="1:7">
      <c r="A286" s="790">
        <v>14850</v>
      </c>
      <c r="B286" s="789">
        <v>1456.9987344915203</v>
      </c>
      <c r="C286" s="789">
        <v>2071.8053666210508</v>
      </c>
      <c r="D286" s="789">
        <v>2398.2378486303878</v>
      </c>
      <c r="E286" s="789">
        <v>2678.8316769201433</v>
      </c>
      <c r="F286" s="789">
        <v>2946.7148446121587</v>
      </c>
      <c r="G286" s="789">
        <v>3203.0790360934161</v>
      </c>
    </row>
    <row r="287" spans="1:7">
      <c r="A287" s="790">
        <v>14900</v>
      </c>
      <c r="B287" s="789">
        <v>1459.833255634185</v>
      </c>
      <c r="C287" s="789">
        <v>2075.6353731576164</v>
      </c>
      <c r="D287" s="789">
        <v>2402.4887095973322</v>
      </c>
      <c r="E287" s="789">
        <v>2683.5798886202197</v>
      </c>
      <c r="F287" s="789">
        <v>2951.9378774822426</v>
      </c>
      <c r="G287" s="789">
        <v>3208.7564728231973</v>
      </c>
    </row>
    <row r="288" spans="1:7">
      <c r="A288" s="790">
        <v>14950</v>
      </c>
      <c r="B288" s="789">
        <v>1462.6677767768497</v>
      </c>
      <c r="C288" s="789">
        <v>2079.4653796941816</v>
      </c>
      <c r="D288" s="789">
        <v>2406.7395705642762</v>
      </c>
      <c r="E288" s="789">
        <v>2688.3281003202965</v>
      </c>
      <c r="F288" s="789">
        <v>2957.1609103523269</v>
      </c>
      <c r="G288" s="789">
        <v>3214.433909552979</v>
      </c>
    </row>
    <row r="289" spans="1:7">
      <c r="A289" s="790">
        <v>15000</v>
      </c>
      <c r="B289" s="789">
        <v>1465.5022979195144</v>
      </c>
      <c r="C289" s="789">
        <v>2083.2953862307468</v>
      </c>
      <c r="D289" s="789">
        <v>2410.9904315312201</v>
      </c>
      <c r="E289" s="789">
        <v>2693.0763120203728</v>
      </c>
      <c r="F289" s="789">
        <v>2962.3839432224108</v>
      </c>
      <c r="G289" s="789">
        <v>3220.1113462827602</v>
      </c>
    </row>
    <row r="290" spans="1:7">
      <c r="A290" s="791">
        <v>15050</v>
      </c>
      <c r="B290" s="789">
        <v>1468.3368190621788</v>
      </c>
      <c r="C290" s="789">
        <v>2087.1253927673115</v>
      </c>
      <c r="D290" s="789">
        <v>2415.2412924981636</v>
      </c>
      <c r="E290" s="789">
        <v>2697.8245237204487</v>
      </c>
      <c r="F290" s="789">
        <v>2967.6069760924947</v>
      </c>
      <c r="G290" s="789">
        <v>3225.7887830125414</v>
      </c>
    </row>
    <row r="291" spans="1:7">
      <c r="A291" s="790">
        <v>15100</v>
      </c>
      <c r="B291" s="789">
        <v>1471.1713402048435</v>
      </c>
      <c r="C291" s="789">
        <v>2090.9553993038767</v>
      </c>
      <c r="D291" s="789">
        <v>2419.492153465108</v>
      </c>
      <c r="E291" s="789">
        <v>2702.5727354205255</v>
      </c>
      <c r="F291" s="789">
        <v>2972.8300089625786</v>
      </c>
      <c r="G291" s="789">
        <v>3231.4662197423227</v>
      </c>
    </row>
    <row r="292" spans="1:7">
      <c r="A292" s="790">
        <v>15150</v>
      </c>
      <c r="B292" s="789">
        <v>1474.005861347508</v>
      </c>
      <c r="C292" s="789">
        <v>2094.7854058404419</v>
      </c>
      <c r="D292" s="789">
        <v>2423.7430144320515</v>
      </c>
      <c r="E292" s="789">
        <v>2707.3209471206019</v>
      </c>
      <c r="F292" s="789">
        <v>2978.0530418326625</v>
      </c>
      <c r="G292" s="789">
        <v>3237.1436564721039</v>
      </c>
    </row>
    <row r="293" spans="1:7">
      <c r="A293" s="790">
        <v>15200</v>
      </c>
      <c r="B293" s="789">
        <v>1476.8403824901725</v>
      </c>
      <c r="C293" s="789">
        <v>2098.615412377007</v>
      </c>
      <c r="D293" s="789">
        <v>2427.9938753989954</v>
      </c>
      <c r="E293" s="789">
        <v>2712.0691588206778</v>
      </c>
      <c r="F293" s="789">
        <v>2983.2760747027464</v>
      </c>
      <c r="G293" s="789">
        <v>3242.8210932018851</v>
      </c>
    </row>
    <row r="294" spans="1:7">
      <c r="A294" s="790">
        <v>15250</v>
      </c>
      <c r="B294" s="789">
        <v>1479.6749036328372</v>
      </c>
      <c r="C294" s="789">
        <v>2102.4454189135722</v>
      </c>
      <c r="D294" s="789">
        <v>2432.2447363659394</v>
      </c>
      <c r="E294" s="789">
        <v>2716.8173705207546</v>
      </c>
      <c r="F294" s="789">
        <v>2988.4991075728308</v>
      </c>
      <c r="G294" s="789">
        <v>3248.4985299316668</v>
      </c>
    </row>
    <row r="295" spans="1:7">
      <c r="A295" s="790">
        <v>15300</v>
      </c>
      <c r="B295" s="789">
        <v>1482.5094247755019</v>
      </c>
      <c r="C295" s="789">
        <v>2106.2754254501374</v>
      </c>
      <c r="D295" s="789">
        <v>2436.4955973328833</v>
      </c>
      <c r="E295" s="789">
        <v>2721.5655822208305</v>
      </c>
      <c r="F295" s="789">
        <v>2993.7221404429147</v>
      </c>
      <c r="G295" s="789">
        <v>3254.1759666614475</v>
      </c>
    </row>
    <row r="296" spans="1:7">
      <c r="A296" s="790">
        <v>15350</v>
      </c>
      <c r="B296" s="789">
        <v>1485.3439459181666</v>
      </c>
      <c r="C296" s="789">
        <v>2110.1054319867026</v>
      </c>
      <c r="D296" s="789">
        <v>2440.7464582998273</v>
      </c>
      <c r="E296" s="789">
        <v>2726.3137939209073</v>
      </c>
      <c r="F296" s="789">
        <v>2998.9451733129986</v>
      </c>
      <c r="G296" s="789">
        <v>3259.8534033912292</v>
      </c>
    </row>
    <row r="297" spans="1:7">
      <c r="A297" s="790">
        <v>15400</v>
      </c>
      <c r="B297" s="789">
        <v>1488.1784670608311</v>
      </c>
      <c r="C297" s="789">
        <v>2113.9354385232677</v>
      </c>
      <c r="D297" s="789">
        <v>2444.9973192667712</v>
      </c>
      <c r="E297" s="789">
        <v>2731.0620056209837</v>
      </c>
      <c r="F297" s="789">
        <v>3004.1682061830825</v>
      </c>
      <c r="G297" s="789">
        <v>3265.5308401210104</v>
      </c>
    </row>
    <row r="298" spans="1:7">
      <c r="A298" s="790">
        <v>15450</v>
      </c>
      <c r="B298" s="789">
        <v>1491.0129882034958</v>
      </c>
      <c r="C298" s="789">
        <v>2117.7654450598329</v>
      </c>
      <c r="D298" s="789">
        <v>2449.2481802337152</v>
      </c>
      <c r="E298" s="789">
        <v>2735.81021732106</v>
      </c>
      <c r="F298" s="789">
        <v>3009.3912390531668</v>
      </c>
      <c r="G298" s="789">
        <v>3271.2082768507921</v>
      </c>
    </row>
    <row r="299" spans="1:7">
      <c r="A299" s="790">
        <v>15500</v>
      </c>
      <c r="B299" s="789">
        <v>1493.8475093461602</v>
      </c>
      <c r="C299" s="789">
        <v>2121.5954515963981</v>
      </c>
      <c r="D299" s="789">
        <v>2453.4990412006591</v>
      </c>
      <c r="E299" s="789">
        <v>2740.5584290211364</v>
      </c>
      <c r="F299" s="789">
        <v>3014.6142719232507</v>
      </c>
      <c r="G299" s="789">
        <v>3276.8857135805729</v>
      </c>
    </row>
    <row r="300" spans="1:7">
      <c r="A300" s="790">
        <v>15550</v>
      </c>
      <c r="B300" s="789">
        <v>1496.6820304888249</v>
      </c>
      <c r="C300" s="789">
        <v>2125.4254581329628</v>
      </c>
      <c r="D300" s="789">
        <v>2457.7499021676031</v>
      </c>
      <c r="E300" s="789">
        <v>2745.3066407212123</v>
      </c>
      <c r="F300" s="789">
        <v>3019.8373047933346</v>
      </c>
      <c r="G300" s="789">
        <v>3282.5631503103541</v>
      </c>
    </row>
    <row r="301" spans="1:7">
      <c r="A301" s="790">
        <v>15600</v>
      </c>
      <c r="B301" s="789">
        <v>1499.5165516314896</v>
      </c>
      <c r="C301" s="789">
        <v>2129.2554646695285</v>
      </c>
      <c r="D301" s="789">
        <v>2462.000763134547</v>
      </c>
      <c r="E301" s="789">
        <v>2750.0548524212891</v>
      </c>
      <c r="F301" s="789">
        <v>3025.0603376634185</v>
      </c>
      <c r="G301" s="789">
        <v>3288.2405870401358</v>
      </c>
    </row>
    <row r="302" spans="1:7">
      <c r="A302" s="790">
        <v>15650</v>
      </c>
      <c r="B302" s="789">
        <v>1502.3510727741541</v>
      </c>
      <c r="C302" s="789">
        <v>2133.0854712060936</v>
      </c>
      <c r="D302" s="789">
        <v>2466.251624101491</v>
      </c>
      <c r="E302" s="789">
        <v>2754.8030641213654</v>
      </c>
      <c r="F302" s="789">
        <v>3030.2833705335029</v>
      </c>
      <c r="G302" s="789">
        <v>3293.9180237699175</v>
      </c>
    </row>
    <row r="303" spans="1:7">
      <c r="A303" s="790">
        <v>15700</v>
      </c>
      <c r="B303" s="789">
        <v>1505.1855939168188</v>
      </c>
      <c r="C303" s="789">
        <v>2136.9154777426584</v>
      </c>
      <c r="D303" s="789">
        <v>2470.5024850684349</v>
      </c>
      <c r="E303" s="789">
        <v>2759.5512758214418</v>
      </c>
      <c r="F303" s="789">
        <v>3035.5064034035868</v>
      </c>
      <c r="G303" s="789">
        <v>3299.5954604996982</v>
      </c>
    </row>
    <row r="304" spans="1:7">
      <c r="A304" s="790">
        <v>15750</v>
      </c>
      <c r="B304" s="789">
        <v>1508.0201150594833</v>
      </c>
      <c r="C304" s="789">
        <v>2140.7454842792235</v>
      </c>
      <c r="D304" s="789">
        <v>2474.7533460353789</v>
      </c>
      <c r="E304" s="789">
        <v>2764.2994875215181</v>
      </c>
      <c r="F304" s="789">
        <v>3040.7294362736707</v>
      </c>
      <c r="G304" s="789">
        <v>3305.2728972294794</v>
      </c>
    </row>
    <row r="305" spans="1:7">
      <c r="A305" s="790">
        <v>15800</v>
      </c>
      <c r="B305" s="789">
        <v>1510.854636202148</v>
      </c>
      <c r="C305" s="789">
        <v>2144.5754908157887</v>
      </c>
      <c r="D305" s="789">
        <v>2479.0042070023228</v>
      </c>
      <c r="E305" s="789">
        <v>2769.0476992215945</v>
      </c>
      <c r="F305" s="789">
        <v>3045.9524691437546</v>
      </c>
      <c r="G305" s="789">
        <v>3310.9503339592611</v>
      </c>
    </row>
    <row r="306" spans="1:7">
      <c r="A306" s="790">
        <v>15850</v>
      </c>
      <c r="B306" s="789">
        <v>1513.6891573448127</v>
      </c>
      <c r="C306" s="789">
        <v>2148.4054973523544</v>
      </c>
      <c r="D306" s="789">
        <v>2483.2550679692667</v>
      </c>
      <c r="E306" s="789">
        <v>2773.7959109216708</v>
      </c>
      <c r="F306" s="789">
        <v>3051.1755020138389</v>
      </c>
      <c r="G306" s="789">
        <v>3316.6277706890423</v>
      </c>
    </row>
    <row r="307" spans="1:7">
      <c r="A307" s="790">
        <v>15900</v>
      </c>
      <c r="B307" s="789">
        <v>1516.5236784874771</v>
      </c>
      <c r="C307" s="789">
        <v>2152.2355038889191</v>
      </c>
      <c r="D307" s="789">
        <v>2487.5059289362102</v>
      </c>
      <c r="E307" s="789">
        <v>2778.5441226217472</v>
      </c>
      <c r="F307" s="789">
        <v>3056.3985348839224</v>
      </c>
      <c r="G307" s="789">
        <v>3322.3052074188236</v>
      </c>
    </row>
    <row r="308" spans="1:7">
      <c r="A308" s="790">
        <v>15950</v>
      </c>
      <c r="B308" s="789">
        <v>1519.3581996301418</v>
      </c>
      <c r="C308" s="789">
        <v>2156.0655104254843</v>
      </c>
      <c r="D308" s="789">
        <v>2491.7567899031546</v>
      </c>
      <c r="E308" s="789">
        <v>2783.2923343218235</v>
      </c>
      <c r="F308" s="789">
        <v>3061.6215677540067</v>
      </c>
      <c r="G308" s="789">
        <v>3327.9826441486048</v>
      </c>
    </row>
    <row r="309" spans="1:7">
      <c r="A309" s="790">
        <v>16000</v>
      </c>
      <c r="B309" s="789">
        <v>1522.1927207728065</v>
      </c>
      <c r="C309" s="789">
        <v>2159.8955169620494</v>
      </c>
      <c r="D309" s="789">
        <v>2496.0076508700986</v>
      </c>
      <c r="E309" s="789">
        <v>2788.0405460218999</v>
      </c>
      <c r="F309" s="789">
        <v>3066.8446006240911</v>
      </c>
      <c r="G309" s="789">
        <v>3333.6600808783865</v>
      </c>
    </row>
    <row r="310" spans="1:7">
      <c r="A310" s="790">
        <v>16050</v>
      </c>
      <c r="B310" s="789">
        <v>1525.027241915471</v>
      </c>
      <c r="C310" s="789">
        <v>2163.7255234986146</v>
      </c>
      <c r="D310" s="789">
        <v>2500.2585118370425</v>
      </c>
      <c r="E310" s="789">
        <v>2792.7887577219763</v>
      </c>
      <c r="F310" s="789">
        <v>3072.0676334941745</v>
      </c>
      <c r="G310" s="789">
        <v>3339.3375176081677</v>
      </c>
    </row>
    <row r="311" spans="1:7">
      <c r="A311" s="790">
        <v>16100</v>
      </c>
      <c r="B311" s="789">
        <v>1527.8617630581355</v>
      </c>
      <c r="C311" s="789">
        <v>2167.5555300351798</v>
      </c>
      <c r="D311" s="789">
        <v>2504.509372803986</v>
      </c>
      <c r="E311" s="789">
        <v>2797.5369694220526</v>
      </c>
      <c r="F311" s="789">
        <v>3077.2906663642584</v>
      </c>
      <c r="G311" s="789">
        <v>3345.0149543379489</v>
      </c>
    </row>
    <row r="312" spans="1:7">
      <c r="A312" s="790">
        <v>16150</v>
      </c>
      <c r="B312" s="789">
        <v>1530.6962842008002</v>
      </c>
      <c r="C312" s="789">
        <v>2171.385536571745</v>
      </c>
      <c r="D312" s="789">
        <v>2508.7602337709304</v>
      </c>
      <c r="E312" s="789">
        <v>2802.285181122129</v>
      </c>
      <c r="F312" s="789">
        <v>3082.5136992343428</v>
      </c>
      <c r="G312" s="789">
        <v>3350.6923910677301</v>
      </c>
    </row>
    <row r="313" spans="1:7">
      <c r="A313" s="790">
        <v>16200</v>
      </c>
      <c r="B313" s="789">
        <v>1533.5308053434649</v>
      </c>
      <c r="C313" s="789">
        <v>2175.2155431083102</v>
      </c>
      <c r="D313" s="789">
        <v>2513.0110947378744</v>
      </c>
      <c r="E313" s="789">
        <v>2807.0333928222058</v>
      </c>
      <c r="F313" s="789">
        <v>3087.7367321044271</v>
      </c>
      <c r="G313" s="789">
        <v>3356.3698277975118</v>
      </c>
    </row>
    <row r="314" spans="1:7">
      <c r="A314" s="790">
        <v>16250</v>
      </c>
      <c r="B314" s="789">
        <v>1536.3653264861293</v>
      </c>
      <c r="C314" s="789">
        <v>2179.0455496448753</v>
      </c>
      <c r="D314" s="789">
        <v>2517.2619557048183</v>
      </c>
      <c r="E314" s="789">
        <v>2811.7816045222817</v>
      </c>
      <c r="F314" s="789">
        <v>3092.959764974511</v>
      </c>
      <c r="G314" s="789">
        <v>3362.047264527293</v>
      </c>
    </row>
    <row r="315" spans="1:7">
      <c r="A315" s="790">
        <v>16300</v>
      </c>
      <c r="B315" s="789">
        <v>1539.199847628794</v>
      </c>
      <c r="C315" s="789">
        <v>2182.8755561814401</v>
      </c>
      <c r="D315" s="789">
        <v>2521.5128166717618</v>
      </c>
      <c r="E315" s="789">
        <v>2816.529816222358</v>
      </c>
      <c r="F315" s="789">
        <v>3098.1827978445949</v>
      </c>
      <c r="G315" s="789">
        <v>3367.7247012570742</v>
      </c>
    </row>
    <row r="316" spans="1:7">
      <c r="A316" s="790">
        <v>16350</v>
      </c>
      <c r="B316" s="789">
        <v>1542.0343687714587</v>
      </c>
      <c r="C316" s="789">
        <v>2186.7055627180057</v>
      </c>
      <c r="D316" s="789">
        <v>2525.7636776387062</v>
      </c>
      <c r="E316" s="789">
        <v>2821.2780279224348</v>
      </c>
      <c r="F316" s="789">
        <v>3103.4058307146788</v>
      </c>
      <c r="G316" s="789">
        <v>3373.4021379868555</v>
      </c>
    </row>
    <row r="317" spans="1:7">
      <c r="A317" s="790">
        <v>16400</v>
      </c>
      <c r="B317" s="789">
        <v>1544.7629693139329</v>
      </c>
      <c r="C317" s="789">
        <v>2190.3924492809779</v>
      </c>
      <c r="D317" s="789">
        <v>2529.8556921119098</v>
      </c>
      <c r="E317" s="789">
        <v>2825.8488080890033</v>
      </c>
      <c r="F317" s="789">
        <v>3108.4336888979042</v>
      </c>
      <c r="G317" s="789">
        <v>3378.8674198320218</v>
      </c>
    </row>
    <row r="318" spans="1:7">
      <c r="A318" s="790">
        <v>16450</v>
      </c>
      <c r="B318" s="789">
        <v>1547.4510616712078</v>
      </c>
      <c r="C318" s="789">
        <v>2194.0755787776025</v>
      </c>
      <c r="D318" s="789">
        <v>2533.9902564222762</v>
      </c>
      <c r="E318" s="789">
        <v>2830.4671164236825</v>
      </c>
      <c r="F318" s="789">
        <v>3113.5138280660512</v>
      </c>
      <c r="G318" s="789">
        <v>3384.3895311077977</v>
      </c>
    </row>
    <row r="319" spans="1:7">
      <c r="A319" s="790">
        <v>16500</v>
      </c>
      <c r="B319" s="789">
        <v>1550.3474081594568</v>
      </c>
      <c r="C319" s="789">
        <v>2198.1955942790082</v>
      </c>
      <c r="D319" s="789">
        <v>2538.7522187518452</v>
      </c>
      <c r="E319" s="789">
        <v>2835.7862283458112</v>
      </c>
      <c r="F319" s="789">
        <v>3119.3648511803926</v>
      </c>
      <c r="G319" s="789">
        <v>3390.7495932330867</v>
      </c>
    </row>
    <row r="320" spans="1:7">
      <c r="A320" s="790">
        <v>16550</v>
      </c>
      <c r="B320" s="789">
        <v>1553.2437546477058</v>
      </c>
      <c r="C320" s="789">
        <v>2202.3156097804144</v>
      </c>
      <c r="D320" s="789">
        <v>2543.5141810814143</v>
      </c>
      <c r="E320" s="789">
        <v>2841.1053402679399</v>
      </c>
      <c r="F320" s="789">
        <v>3125.215874294734</v>
      </c>
      <c r="G320" s="789">
        <v>3397.1096553583761</v>
      </c>
    </row>
    <row r="321" spans="1:7">
      <c r="A321" s="790">
        <v>16600</v>
      </c>
      <c r="B321" s="789">
        <v>1556.1401011359549</v>
      </c>
      <c r="C321" s="789">
        <v>2206.4356252818202</v>
      </c>
      <c r="D321" s="789">
        <v>2548.2761434109834</v>
      </c>
      <c r="E321" s="789">
        <v>2846.4244521900687</v>
      </c>
      <c r="F321" s="789">
        <v>3131.0668974090759</v>
      </c>
      <c r="G321" s="789">
        <v>3403.4697174836656</v>
      </c>
    </row>
    <row r="322" spans="1:7">
      <c r="A322" s="790">
        <v>16650</v>
      </c>
      <c r="B322" s="789">
        <v>1559.0364476242037</v>
      </c>
      <c r="C322" s="789">
        <v>2210.5556407832255</v>
      </c>
      <c r="D322" s="789">
        <v>2553.0381057405525</v>
      </c>
      <c r="E322" s="789">
        <v>2851.743564112197</v>
      </c>
      <c r="F322" s="789">
        <v>3136.9179205234173</v>
      </c>
      <c r="G322" s="789">
        <v>3409.8297796089546</v>
      </c>
    </row>
    <row r="323" spans="1:7">
      <c r="A323" s="790">
        <v>16700</v>
      </c>
      <c r="B323" s="789">
        <v>1561.9043129763741</v>
      </c>
      <c r="C323" s="789">
        <v>2214.6351422361163</v>
      </c>
      <c r="D323" s="789">
        <v>2557.7532414567795</v>
      </c>
      <c r="E323" s="789">
        <v>2857.0103707072226</v>
      </c>
      <c r="F323" s="789">
        <v>3142.7114077779452</v>
      </c>
      <c r="G323" s="789">
        <v>3416.1273002546268</v>
      </c>
    </row>
    <row r="324" spans="1:7">
      <c r="A324" s="790">
        <v>16750</v>
      </c>
      <c r="B324" s="789">
        <v>1564.7579334879074</v>
      </c>
      <c r="C324" s="789">
        <v>2218.6943805870346</v>
      </c>
      <c r="D324" s="789">
        <v>2562.4449568416412</v>
      </c>
      <c r="E324" s="789">
        <v>2862.2510167921132</v>
      </c>
      <c r="F324" s="789">
        <v>3148.4761184713248</v>
      </c>
      <c r="G324" s="789">
        <v>3422.3935407783301</v>
      </c>
    </row>
    <row r="325" spans="1:7">
      <c r="A325" s="790">
        <v>16800</v>
      </c>
      <c r="B325" s="789">
        <v>1567.6115539994407</v>
      </c>
      <c r="C325" s="789">
        <v>2222.7536189379525</v>
      </c>
      <c r="D325" s="789">
        <v>2567.1366722265025</v>
      </c>
      <c r="E325" s="789">
        <v>2867.4916628770034</v>
      </c>
      <c r="F325" s="789">
        <v>3154.2408291647039</v>
      </c>
      <c r="G325" s="789">
        <v>3428.6597813020335</v>
      </c>
    </row>
    <row r="326" spans="1:7">
      <c r="A326" s="790">
        <v>16850</v>
      </c>
      <c r="B326" s="789">
        <v>1570.4651745109741</v>
      </c>
      <c r="C326" s="789">
        <v>2226.8128572888704</v>
      </c>
      <c r="D326" s="789">
        <v>2571.8283876113642</v>
      </c>
      <c r="E326" s="789">
        <v>2872.732308961894</v>
      </c>
      <c r="F326" s="789">
        <v>3160.0055398580835</v>
      </c>
      <c r="G326" s="789">
        <v>3434.9260218257368</v>
      </c>
    </row>
    <row r="327" spans="1:7">
      <c r="A327" s="790">
        <v>16900</v>
      </c>
      <c r="B327" s="789">
        <v>1573.3187950225074</v>
      </c>
      <c r="C327" s="789">
        <v>2230.8720956397883</v>
      </c>
      <c r="D327" s="789">
        <v>2576.5201029962254</v>
      </c>
      <c r="E327" s="789">
        <v>2877.9729550467841</v>
      </c>
      <c r="F327" s="789">
        <v>3165.7702505514626</v>
      </c>
      <c r="G327" s="789">
        <v>3441.1922623494402</v>
      </c>
    </row>
    <row r="328" spans="1:7">
      <c r="A328" s="790">
        <v>16950</v>
      </c>
      <c r="B328" s="789">
        <v>1576.1724155340407</v>
      </c>
      <c r="C328" s="789">
        <v>2234.9313339907067</v>
      </c>
      <c r="D328" s="789">
        <v>2581.2118183810871</v>
      </c>
      <c r="E328" s="789">
        <v>2883.2136011316743</v>
      </c>
      <c r="F328" s="789">
        <v>3171.5349612448422</v>
      </c>
      <c r="G328" s="789">
        <v>3447.4585028731435</v>
      </c>
    </row>
    <row r="329" spans="1:7">
      <c r="A329" s="790">
        <v>17000</v>
      </c>
      <c r="B329" s="789">
        <v>1579.0260360455741</v>
      </c>
      <c r="C329" s="789">
        <v>2238.9905723416246</v>
      </c>
      <c r="D329" s="789">
        <v>2585.9035337659489</v>
      </c>
      <c r="E329" s="789">
        <v>2888.4542472165649</v>
      </c>
      <c r="F329" s="789">
        <v>3177.2996719382213</v>
      </c>
      <c r="G329" s="789">
        <v>3453.7247433968469</v>
      </c>
    </row>
    <row r="330" spans="1:7">
      <c r="A330" s="790">
        <v>17050</v>
      </c>
      <c r="B330" s="789">
        <v>1581.8796565571072</v>
      </c>
      <c r="C330" s="789">
        <v>2243.0498106925425</v>
      </c>
      <c r="D330" s="789">
        <v>2590.5952491508101</v>
      </c>
      <c r="E330" s="789">
        <v>2893.6948933014546</v>
      </c>
      <c r="F330" s="789">
        <v>3183.0643826316004</v>
      </c>
      <c r="G330" s="789">
        <v>3459.9909839205498</v>
      </c>
    </row>
    <row r="331" spans="1:7">
      <c r="A331" s="790">
        <v>17100</v>
      </c>
      <c r="B331" s="789">
        <v>1584.7332770686403</v>
      </c>
      <c r="C331" s="789">
        <v>2247.1090490434599</v>
      </c>
      <c r="D331" s="789">
        <v>2595.2869645356714</v>
      </c>
      <c r="E331" s="789">
        <v>2898.9355393863448</v>
      </c>
      <c r="F331" s="789">
        <v>3188.8290933249796</v>
      </c>
      <c r="G331" s="789">
        <v>3466.2572244442526</v>
      </c>
    </row>
    <row r="332" spans="1:7">
      <c r="A332" s="790">
        <v>17150</v>
      </c>
      <c r="B332" s="789">
        <v>1587.5868975801736</v>
      </c>
      <c r="C332" s="789">
        <v>2251.1682873943782</v>
      </c>
      <c r="D332" s="789">
        <v>2599.9786799205326</v>
      </c>
      <c r="E332" s="789">
        <v>2904.1761854712349</v>
      </c>
      <c r="F332" s="789">
        <v>3194.5938040183587</v>
      </c>
      <c r="G332" s="789">
        <v>3472.523464967956</v>
      </c>
    </row>
    <row r="333" spans="1:7">
      <c r="A333" s="790">
        <v>17200</v>
      </c>
      <c r="B333" s="789">
        <v>1590.440518091707</v>
      </c>
      <c r="C333" s="789">
        <v>2255.2275257452961</v>
      </c>
      <c r="D333" s="789">
        <v>2604.6703953053943</v>
      </c>
      <c r="E333" s="789">
        <v>2909.4168315561255</v>
      </c>
      <c r="F333" s="789">
        <v>3200.3585147117383</v>
      </c>
      <c r="G333" s="789">
        <v>3478.7897054916598</v>
      </c>
    </row>
    <row r="334" spans="1:7">
      <c r="A334" s="790">
        <v>17250</v>
      </c>
      <c r="B334" s="789">
        <v>1593.2941386032403</v>
      </c>
      <c r="C334" s="789">
        <v>2259.286764096214</v>
      </c>
      <c r="D334" s="789">
        <v>2609.3621106902556</v>
      </c>
      <c r="E334" s="789">
        <v>2914.6574776410157</v>
      </c>
      <c r="F334" s="789">
        <v>3206.1232254051174</v>
      </c>
      <c r="G334" s="789">
        <v>3485.0559460153631</v>
      </c>
    </row>
    <row r="335" spans="1:7">
      <c r="A335" s="790">
        <v>17300</v>
      </c>
      <c r="B335" s="789">
        <v>1596.1477591147736</v>
      </c>
      <c r="C335" s="789">
        <v>2263.3460024471319</v>
      </c>
      <c r="D335" s="789">
        <v>2614.0538260751173</v>
      </c>
      <c r="E335" s="789">
        <v>2919.8981237259059</v>
      </c>
      <c r="F335" s="789">
        <v>3211.887936098497</v>
      </c>
      <c r="G335" s="789">
        <v>3491.3221865390665</v>
      </c>
    </row>
    <row r="336" spans="1:7">
      <c r="A336" s="790">
        <v>17350</v>
      </c>
      <c r="B336" s="789">
        <v>1599.001379626307</v>
      </c>
      <c r="C336" s="789">
        <v>2267.4052407980498</v>
      </c>
      <c r="D336" s="789">
        <v>2618.745541459979</v>
      </c>
      <c r="E336" s="789">
        <v>2925.1387698107965</v>
      </c>
      <c r="F336" s="789">
        <v>3217.6526467918761</v>
      </c>
      <c r="G336" s="789">
        <v>3497.5884270627698</v>
      </c>
    </row>
    <row r="337" spans="1:7">
      <c r="A337" s="790">
        <v>17400</v>
      </c>
      <c r="B337" s="789">
        <v>1601.8550001378403</v>
      </c>
      <c r="C337" s="789">
        <v>2271.4644791489677</v>
      </c>
      <c r="D337" s="789">
        <v>2623.4372568448398</v>
      </c>
      <c r="E337" s="789">
        <v>2930.3794158956862</v>
      </c>
      <c r="F337" s="789">
        <v>3223.4173574852553</v>
      </c>
      <c r="G337" s="789">
        <v>3503.8546675864727</v>
      </c>
    </row>
    <row r="338" spans="1:7">
      <c r="A338" s="790">
        <v>17450</v>
      </c>
      <c r="B338" s="789">
        <v>1604.7086206493736</v>
      </c>
      <c r="C338" s="789">
        <v>2275.5237174998861</v>
      </c>
      <c r="D338" s="789">
        <v>2628.128972229702</v>
      </c>
      <c r="E338" s="789">
        <v>2935.6200619805772</v>
      </c>
      <c r="F338" s="789">
        <v>3229.1820681786348</v>
      </c>
      <c r="G338" s="789">
        <v>3510.1209081101765</v>
      </c>
    </row>
    <row r="339" spans="1:7">
      <c r="A339" s="790">
        <v>17500</v>
      </c>
      <c r="B339" s="789">
        <v>1607.562241160907</v>
      </c>
      <c r="C339" s="789">
        <v>2279.582955850804</v>
      </c>
      <c r="D339" s="789">
        <v>2632.8206876145632</v>
      </c>
      <c r="E339" s="789">
        <v>2940.860708065467</v>
      </c>
      <c r="F339" s="789">
        <v>3234.946778872014</v>
      </c>
      <c r="G339" s="789">
        <v>3516.3871486338794</v>
      </c>
    </row>
    <row r="340" spans="1:7">
      <c r="A340" s="790">
        <v>17550</v>
      </c>
      <c r="B340" s="789">
        <v>1610.4158616724403</v>
      </c>
      <c r="C340" s="789">
        <v>2283.6421942017218</v>
      </c>
      <c r="D340" s="789">
        <v>2637.5124029994245</v>
      </c>
      <c r="E340" s="789">
        <v>2946.1013541503576</v>
      </c>
      <c r="F340" s="789">
        <v>3240.7114895653935</v>
      </c>
      <c r="G340" s="789">
        <v>3522.6533891575828</v>
      </c>
    </row>
    <row r="341" spans="1:7">
      <c r="A341" s="790">
        <v>17600</v>
      </c>
      <c r="B341" s="789">
        <v>1613.2694821839734</v>
      </c>
      <c r="C341" s="789">
        <v>2287.7014325526397</v>
      </c>
      <c r="D341" s="789">
        <v>2642.2041183842857</v>
      </c>
      <c r="E341" s="789">
        <v>2951.3420002352473</v>
      </c>
      <c r="F341" s="789">
        <v>3246.4762002587722</v>
      </c>
      <c r="G341" s="789">
        <v>3528.9196296812856</v>
      </c>
    </row>
    <row r="342" spans="1:7">
      <c r="A342" s="790">
        <v>17650</v>
      </c>
      <c r="B342" s="789">
        <v>1616.123102695507</v>
      </c>
      <c r="C342" s="789">
        <v>2291.7606709035576</v>
      </c>
      <c r="D342" s="789">
        <v>2646.8958337691474</v>
      </c>
      <c r="E342" s="789">
        <v>2956.5826463201379</v>
      </c>
      <c r="F342" s="789">
        <v>3252.2409109521523</v>
      </c>
      <c r="G342" s="789">
        <v>3535.1858702049894</v>
      </c>
    </row>
    <row r="343" spans="1:7">
      <c r="A343" s="790">
        <v>17700</v>
      </c>
      <c r="B343" s="789">
        <v>1618.9767232070401</v>
      </c>
      <c r="C343" s="789">
        <v>2295.8199092544755</v>
      </c>
      <c r="D343" s="789">
        <v>2651.5875491540087</v>
      </c>
      <c r="E343" s="789">
        <v>2961.823292405028</v>
      </c>
      <c r="F343" s="789">
        <v>3258.0056216455309</v>
      </c>
      <c r="G343" s="789">
        <v>3541.4521107286923</v>
      </c>
    </row>
    <row r="344" spans="1:7">
      <c r="A344" s="790">
        <v>17750</v>
      </c>
      <c r="B344" s="789">
        <v>1621.8303437185734</v>
      </c>
      <c r="C344" s="789">
        <v>2299.8791476053934</v>
      </c>
      <c r="D344" s="789">
        <v>2656.2792645388704</v>
      </c>
      <c r="E344" s="789">
        <v>2967.0639384899182</v>
      </c>
      <c r="F344" s="789">
        <v>3263.7703323389105</v>
      </c>
      <c r="G344" s="789">
        <v>3547.7183512523957</v>
      </c>
    </row>
    <row r="345" spans="1:7">
      <c r="A345" s="790">
        <v>17800</v>
      </c>
      <c r="B345" s="789">
        <v>1624.6839642301068</v>
      </c>
      <c r="C345" s="789">
        <v>2303.9383859563118</v>
      </c>
      <c r="D345" s="789">
        <v>2660.9709799237321</v>
      </c>
      <c r="E345" s="789">
        <v>2972.3045845748088</v>
      </c>
      <c r="F345" s="789">
        <v>3269.5350430322897</v>
      </c>
      <c r="G345" s="789">
        <v>3553.984591776099</v>
      </c>
    </row>
    <row r="346" spans="1:7">
      <c r="A346" s="790">
        <v>17850</v>
      </c>
      <c r="B346" s="789">
        <v>1627.5375847416401</v>
      </c>
      <c r="C346" s="789">
        <v>2307.9976243072297</v>
      </c>
      <c r="D346" s="789">
        <v>2665.6626953085934</v>
      </c>
      <c r="E346" s="789">
        <v>2977.545230659699</v>
      </c>
      <c r="F346" s="789">
        <v>3275.2997537256692</v>
      </c>
      <c r="G346" s="789">
        <v>3560.2508322998024</v>
      </c>
    </row>
    <row r="347" spans="1:7">
      <c r="A347" s="790">
        <v>17900</v>
      </c>
      <c r="B347" s="789">
        <v>1630.3912052531734</v>
      </c>
      <c r="C347" s="789">
        <v>2312.0568626581476</v>
      </c>
      <c r="D347" s="789">
        <v>2670.3544106934551</v>
      </c>
      <c r="E347" s="789">
        <v>2982.7858767445891</v>
      </c>
      <c r="F347" s="789">
        <v>3281.0644644190484</v>
      </c>
      <c r="G347" s="789">
        <v>3566.5170728235057</v>
      </c>
    </row>
    <row r="348" spans="1:7">
      <c r="A348" s="790">
        <v>17950</v>
      </c>
      <c r="B348" s="789">
        <v>1633.2448257647068</v>
      </c>
      <c r="C348" s="789">
        <v>2316.1161010090655</v>
      </c>
      <c r="D348" s="789">
        <v>2675.0461260783163</v>
      </c>
      <c r="E348" s="789">
        <v>2988.0265228294797</v>
      </c>
      <c r="F348" s="789">
        <v>3286.8291751124279</v>
      </c>
      <c r="G348" s="789">
        <v>3572.7833133472091</v>
      </c>
    </row>
    <row r="349" spans="1:7">
      <c r="A349" s="790">
        <v>18000</v>
      </c>
      <c r="B349" s="789">
        <v>1636.0984462762401</v>
      </c>
      <c r="C349" s="789">
        <v>2320.1753393599838</v>
      </c>
      <c r="D349" s="789">
        <v>2679.737841463178</v>
      </c>
      <c r="E349" s="789">
        <v>2993.2671689143699</v>
      </c>
      <c r="F349" s="789">
        <v>3292.5938858058071</v>
      </c>
      <c r="G349" s="789">
        <v>3579.0495538709124</v>
      </c>
    </row>
    <row r="350" spans="1:7">
      <c r="A350" s="790">
        <v>18050</v>
      </c>
      <c r="B350" s="789">
        <v>1638.9520667877734</v>
      </c>
      <c r="C350" s="789">
        <v>2324.2345777109017</v>
      </c>
      <c r="D350" s="789">
        <v>2684.4295568480397</v>
      </c>
      <c r="E350" s="789">
        <v>2998.5078149992605</v>
      </c>
      <c r="F350" s="789">
        <v>3298.3585964991867</v>
      </c>
      <c r="G350" s="789">
        <v>3585.3157943946162</v>
      </c>
    </row>
    <row r="351" spans="1:7">
      <c r="A351" s="790">
        <v>18100</v>
      </c>
      <c r="B351" s="789">
        <v>1641.8056872993066</v>
      </c>
      <c r="C351" s="789">
        <v>2328.2938160618196</v>
      </c>
      <c r="D351" s="789">
        <v>2689.121272232901</v>
      </c>
      <c r="E351" s="789">
        <v>3003.7484610841502</v>
      </c>
      <c r="F351" s="789">
        <v>3304.1233071925658</v>
      </c>
      <c r="G351" s="789">
        <v>3591.5820349183191</v>
      </c>
    </row>
    <row r="352" spans="1:7">
      <c r="A352" s="790">
        <v>18150</v>
      </c>
      <c r="B352" s="789">
        <v>1644.6593078108399</v>
      </c>
      <c r="C352" s="789">
        <v>2332.3530544127375</v>
      </c>
      <c r="D352" s="789">
        <v>2693.8129876177622</v>
      </c>
      <c r="E352" s="789">
        <v>3008.9891071690408</v>
      </c>
      <c r="F352" s="789">
        <v>3309.8880178859449</v>
      </c>
      <c r="G352" s="789">
        <v>3597.8482754420224</v>
      </c>
    </row>
    <row r="353" spans="1:7">
      <c r="A353" s="790">
        <v>18200</v>
      </c>
      <c r="B353" s="789">
        <v>1647.5129283223732</v>
      </c>
      <c r="C353" s="789">
        <v>2336.4122927636554</v>
      </c>
      <c r="D353" s="789">
        <v>2698.504703002624</v>
      </c>
      <c r="E353" s="789">
        <v>3014.229753253931</v>
      </c>
      <c r="F353" s="789">
        <v>3315.6527285793245</v>
      </c>
      <c r="G353" s="789">
        <v>3604.1145159657258</v>
      </c>
    </row>
    <row r="354" spans="1:7">
      <c r="A354" s="790">
        <v>18250</v>
      </c>
      <c r="B354" s="789">
        <v>1650.3665488339066</v>
      </c>
      <c r="C354" s="789">
        <v>2340.4715311145733</v>
      </c>
      <c r="D354" s="789">
        <v>2703.1964183874852</v>
      </c>
      <c r="E354" s="789">
        <v>3019.4703993388212</v>
      </c>
      <c r="F354" s="789">
        <v>3321.4174392727036</v>
      </c>
      <c r="G354" s="789">
        <v>3610.3807564894291</v>
      </c>
    </row>
    <row r="355" spans="1:7">
      <c r="A355" s="790">
        <v>18300</v>
      </c>
      <c r="B355" s="789">
        <v>1653.2201693454397</v>
      </c>
      <c r="C355" s="789">
        <v>2344.5307694654912</v>
      </c>
      <c r="D355" s="789">
        <v>2707.8881337723465</v>
      </c>
      <c r="E355" s="789">
        <v>3024.7110454237113</v>
      </c>
      <c r="F355" s="789">
        <v>3327.1821499660828</v>
      </c>
      <c r="G355" s="789">
        <v>3616.646997013132</v>
      </c>
    </row>
    <row r="356" spans="1:7">
      <c r="A356" s="790">
        <v>18350</v>
      </c>
      <c r="B356" s="789">
        <v>1656.073789856973</v>
      </c>
      <c r="C356" s="789">
        <v>2348.5900078164091</v>
      </c>
      <c r="D356" s="789">
        <v>2712.5798491572082</v>
      </c>
      <c r="E356" s="789">
        <v>3029.9516915086015</v>
      </c>
      <c r="F356" s="789">
        <v>3332.9468606594619</v>
      </c>
      <c r="G356" s="789">
        <v>3622.9132375368354</v>
      </c>
    </row>
    <row r="357" spans="1:7">
      <c r="A357" s="790">
        <v>18400</v>
      </c>
      <c r="B357" s="789">
        <v>1658.9274103685063</v>
      </c>
      <c r="C357" s="789">
        <v>2352.649246167327</v>
      </c>
      <c r="D357" s="789">
        <v>2717.2715645420699</v>
      </c>
      <c r="E357" s="789">
        <v>3035.1923375934921</v>
      </c>
      <c r="F357" s="789">
        <v>3338.7115713528415</v>
      </c>
      <c r="G357" s="789">
        <v>3629.1794780605387</v>
      </c>
    </row>
    <row r="358" spans="1:7">
      <c r="A358" s="790">
        <v>18450</v>
      </c>
      <c r="B358" s="789">
        <v>1661.7810308800397</v>
      </c>
      <c r="C358" s="789">
        <v>2356.7084845182453</v>
      </c>
      <c r="D358" s="789">
        <v>2721.9632799269311</v>
      </c>
      <c r="E358" s="789">
        <v>3040.4329836783822</v>
      </c>
      <c r="F358" s="789">
        <v>3344.4762820462206</v>
      </c>
      <c r="G358" s="789">
        <v>3635.4457185842421</v>
      </c>
    </row>
    <row r="359" spans="1:7">
      <c r="A359" s="790">
        <v>18500</v>
      </c>
      <c r="B359" s="789">
        <v>1664.634651391573</v>
      </c>
      <c r="C359" s="789">
        <v>2360.7677228691632</v>
      </c>
      <c r="D359" s="789">
        <v>2726.6549953117928</v>
      </c>
      <c r="E359" s="789">
        <v>3045.6736297632724</v>
      </c>
      <c r="F359" s="789">
        <v>3350.2409927396002</v>
      </c>
      <c r="G359" s="789">
        <v>3641.7119591079454</v>
      </c>
    </row>
    <row r="360" spans="1:7">
      <c r="A360" s="790">
        <v>18550</v>
      </c>
      <c r="B360" s="789">
        <v>1667.4882719031064</v>
      </c>
      <c r="C360" s="789">
        <v>2364.8269612200811</v>
      </c>
      <c r="D360" s="789">
        <v>2731.3467106966541</v>
      </c>
      <c r="E360" s="789">
        <v>3050.914275848163</v>
      </c>
      <c r="F360" s="789">
        <v>3356.0057034329793</v>
      </c>
      <c r="G360" s="789">
        <v>3647.9781996316487</v>
      </c>
    </row>
    <row r="361" spans="1:7">
      <c r="A361" s="790">
        <v>18600</v>
      </c>
      <c r="B361" s="789">
        <v>1670.3418924146397</v>
      </c>
      <c r="C361" s="789">
        <v>2368.886199570999</v>
      </c>
      <c r="D361" s="789">
        <v>2736.0384260815158</v>
      </c>
      <c r="E361" s="789">
        <v>3056.1549219330532</v>
      </c>
      <c r="F361" s="789">
        <v>3361.7704141263589</v>
      </c>
      <c r="G361" s="789">
        <v>3654.2444401553521</v>
      </c>
    </row>
    <row r="362" spans="1:7">
      <c r="A362" s="790">
        <v>18650</v>
      </c>
      <c r="B362" s="789">
        <v>1673.1955129261728</v>
      </c>
      <c r="C362" s="789">
        <v>2372.9454379219169</v>
      </c>
      <c r="D362" s="789">
        <v>2740.7301414663771</v>
      </c>
      <c r="E362" s="789">
        <v>3061.3955680179433</v>
      </c>
      <c r="F362" s="789">
        <v>3367.535124819738</v>
      </c>
      <c r="G362" s="789">
        <v>3660.510680679055</v>
      </c>
    </row>
    <row r="363" spans="1:7">
      <c r="A363" s="790">
        <v>18700</v>
      </c>
      <c r="B363" s="789">
        <v>1676.0491334377064</v>
      </c>
      <c r="C363" s="789">
        <v>2377.0046762728352</v>
      </c>
      <c r="D363" s="789">
        <v>2745.4218568512388</v>
      </c>
      <c r="E363" s="789">
        <v>3066.6362141028339</v>
      </c>
      <c r="F363" s="789">
        <v>3373.2998355131176</v>
      </c>
      <c r="G363" s="789">
        <v>3666.7769212027588</v>
      </c>
    </row>
    <row r="364" spans="1:7">
      <c r="A364" s="790">
        <v>18750</v>
      </c>
      <c r="B364" s="789">
        <v>1678.9027539492397</v>
      </c>
      <c r="C364" s="789">
        <v>2381.0639146237531</v>
      </c>
      <c r="D364" s="789">
        <v>2750.1135722361005</v>
      </c>
      <c r="E364" s="789">
        <v>3071.8768601877241</v>
      </c>
      <c r="F364" s="789">
        <v>3379.0645462064967</v>
      </c>
      <c r="G364" s="789">
        <v>3673.0431617264621</v>
      </c>
    </row>
    <row r="365" spans="1:7">
      <c r="A365" s="790">
        <v>18800</v>
      </c>
      <c r="B365" s="789">
        <v>1681.7563744607728</v>
      </c>
      <c r="C365" s="789">
        <v>2385.123152974671</v>
      </c>
      <c r="D365" s="789">
        <v>2754.8052876209617</v>
      </c>
      <c r="E365" s="789">
        <v>3077.1175062726143</v>
      </c>
      <c r="F365" s="789">
        <v>3384.8292568998759</v>
      </c>
      <c r="G365" s="789">
        <v>3679.3094022501655</v>
      </c>
    </row>
    <row r="366" spans="1:7">
      <c r="A366" s="790">
        <v>18850</v>
      </c>
      <c r="B366" s="789">
        <v>1684.6099949723061</v>
      </c>
      <c r="C366" s="789">
        <v>2389.1823913255885</v>
      </c>
      <c r="D366" s="789">
        <v>2759.497003005823</v>
      </c>
      <c r="E366" s="789">
        <v>3082.3581523575044</v>
      </c>
      <c r="F366" s="789">
        <v>3390.593967593255</v>
      </c>
      <c r="G366" s="789">
        <v>3685.5756427738684</v>
      </c>
    </row>
    <row r="367" spans="1:7">
      <c r="A367" s="790">
        <v>18900</v>
      </c>
      <c r="B367" s="789">
        <v>1687.4636154838395</v>
      </c>
      <c r="C367" s="789">
        <v>2393.2416296765068</v>
      </c>
      <c r="D367" s="789">
        <v>2764.1887183906847</v>
      </c>
      <c r="E367" s="789">
        <v>3087.598798442395</v>
      </c>
      <c r="F367" s="789">
        <v>3396.3586782866346</v>
      </c>
      <c r="G367" s="789">
        <v>3691.8418832975722</v>
      </c>
    </row>
    <row r="368" spans="1:7">
      <c r="A368" s="790">
        <v>18950</v>
      </c>
      <c r="B368" s="789">
        <v>1690.3172359953728</v>
      </c>
      <c r="C368" s="789">
        <v>2397.3008680274247</v>
      </c>
      <c r="D368" s="789">
        <v>2768.880433775546</v>
      </c>
      <c r="E368" s="789">
        <v>3092.8394445272847</v>
      </c>
      <c r="F368" s="789">
        <v>3402.1233889800137</v>
      </c>
      <c r="G368" s="789">
        <v>3698.1081238212751</v>
      </c>
    </row>
    <row r="369" spans="1:7">
      <c r="A369" s="790">
        <v>19000</v>
      </c>
      <c r="B369" s="789">
        <v>1693.1708565069061</v>
      </c>
      <c r="C369" s="789">
        <v>2401.3601063783426</v>
      </c>
      <c r="D369" s="789">
        <v>2773.5721491604072</v>
      </c>
      <c r="E369" s="789">
        <v>3098.0800906121754</v>
      </c>
      <c r="F369" s="789">
        <v>3407.8880996733928</v>
      </c>
      <c r="G369" s="789">
        <v>3704.3743643449784</v>
      </c>
    </row>
    <row r="370" spans="1:7">
      <c r="A370" s="790">
        <v>19050</v>
      </c>
      <c r="B370" s="789">
        <v>1696.0244770184395</v>
      </c>
      <c r="C370" s="789">
        <v>2405.4193447292605</v>
      </c>
      <c r="D370" s="789">
        <v>2778.2638645452689</v>
      </c>
      <c r="E370" s="789">
        <v>3103.3207366970655</v>
      </c>
      <c r="F370" s="789">
        <v>3413.6528103667724</v>
      </c>
      <c r="G370" s="789">
        <v>3710.6406048686817</v>
      </c>
    </row>
    <row r="371" spans="1:7">
      <c r="A371" s="790">
        <v>19100</v>
      </c>
      <c r="B371" s="789">
        <v>1698.8780975299728</v>
      </c>
      <c r="C371" s="789">
        <v>2409.4785830801789</v>
      </c>
      <c r="D371" s="789">
        <v>2782.9555799301306</v>
      </c>
      <c r="E371" s="789">
        <v>3108.5613827819561</v>
      </c>
      <c r="F371" s="789">
        <v>3419.4175210601516</v>
      </c>
      <c r="G371" s="789">
        <v>3716.9068453923851</v>
      </c>
    </row>
    <row r="372" spans="1:7">
      <c r="A372" s="790">
        <v>19150</v>
      </c>
      <c r="B372" s="789">
        <v>1701.7317180415062</v>
      </c>
      <c r="C372" s="789">
        <v>2413.5378214310967</v>
      </c>
      <c r="D372" s="789">
        <v>2787.6472953149919</v>
      </c>
      <c r="E372" s="789">
        <v>3113.8020288668463</v>
      </c>
      <c r="F372" s="789">
        <v>3425.1822317535311</v>
      </c>
      <c r="G372" s="789">
        <v>3723.1730859160884</v>
      </c>
    </row>
    <row r="373" spans="1:7">
      <c r="A373" s="790">
        <v>19200</v>
      </c>
      <c r="B373" s="789">
        <v>1704.5853385530395</v>
      </c>
      <c r="C373" s="789">
        <v>2417.5970597820146</v>
      </c>
      <c r="D373" s="789">
        <v>2792.3390106998536</v>
      </c>
      <c r="E373" s="789">
        <v>3119.0426749517364</v>
      </c>
      <c r="F373" s="789">
        <v>3430.9469424469103</v>
      </c>
      <c r="G373" s="789">
        <v>3729.4393264397918</v>
      </c>
    </row>
    <row r="374" spans="1:7">
      <c r="A374" s="790">
        <v>19250</v>
      </c>
      <c r="B374" s="789">
        <v>1707.4389590645728</v>
      </c>
      <c r="C374" s="789">
        <v>2421.6562981329325</v>
      </c>
      <c r="D374" s="789">
        <v>2797.0307260847148</v>
      </c>
      <c r="E374" s="789">
        <v>3124.2833210366271</v>
      </c>
      <c r="F374" s="789">
        <v>3436.7116531402899</v>
      </c>
      <c r="G374" s="789">
        <v>3735.7055669634951</v>
      </c>
    </row>
    <row r="375" spans="1:7">
      <c r="A375" s="790">
        <v>19300</v>
      </c>
      <c r="B375" s="789">
        <v>1710.2925795761062</v>
      </c>
      <c r="C375" s="789">
        <v>2425.7155364838509</v>
      </c>
      <c r="D375" s="789">
        <v>2801.7224414695766</v>
      </c>
      <c r="E375" s="789">
        <v>3129.5239671215172</v>
      </c>
      <c r="F375" s="789">
        <v>3442.476363833669</v>
      </c>
      <c r="G375" s="789">
        <v>3741.9718074871985</v>
      </c>
    </row>
    <row r="376" spans="1:7">
      <c r="A376" s="790">
        <v>19350</v>
      </c>
      <c r="B376" s="789">
        <v>1713.1462000876393</v>
      </c>
      <c r="C376" s="789">
        <v>2429.7747748347683</v>
      </c>
      <c r="D376" s="789">
        <v>2806.4141568544378</v>
      </c>
      <c r="E376" s="789">
        <v>3134.7646132064074</v>
      </c>
      <c r="F376" s="789">
        <v>3448.2410745270481</v>
      </c>
      <c r="G376" s="789">
        <v>3748.2380480109014</v>
      </c>
    </row>
    <row r="377" spans="1:7">
      <c r="A377" s="790">
        <v>19400</v>
      </c>
      <c r="B377" s="789">
        <v>1715.9998205991726</v>
      </c>
      <c r="C377" s="789">
        <v>2433.8340131856867</v>
      </c>
      <c r="D377" s="789">
        <v>2811.1058722392995</v>
      </c>
      <c r="E377" s="789">
        <v>3140.0052592912975</v>
      </c>
      <c r="F377" s="789">
        <v>3454.0057852204277</v>
      </c>
      <c r="G377" s="789">
        <v>3754.5042885346047</v>
      </c>
    </row>
    <row r="378" spans="1:7">
      <c r="A378" s="790">
        <v>19450</v>
      </c>
      <c r="B378" s="789">
        <v>1718.8534411107059</v>
      </c>
      <c r="C378" s="789">
        <v>2437.8932515366046</v>
      </c>
      <c r="D378" s="789">
        <v>2815.7975876241608</v>
      </c>
      <c r="E378" s="789">
        <v>3145.2459053761877</v>
      </c>
      <c r="F378" s="789">
        <v>3459.7704959138068</v>
      </c>
      <c r="G378" s="789">
        <v>3760.7705290583081</v>
      </c>
    </row>
    <row r="379" spans="1:7">
      <c r="A379" s="790">
        <v>19500</v>
      </c>
      <c r="B379" s="789">
        <v>1721.7070616222393</v>
      </c>
      <c r="C379" s="789">
        <v>2441.9524898875225</v>
      </c>
      <c r="D379" s="789">
        <v>2820.4893030090225</v>
      </c>
      <c r="E379" s="789">
        <v>3150.4865514610783</v>
      </c>
      <c r="F379" s="789">
        <v>3465.5352066071864</v>
      </c>
      <c r="G379" s="789">
        <v>3767.0367695820114</v>
      </c>
    </row>
    <row r="380" spans="1:7">
      <c r="A380" s="790">
        <v>19550</v>
      </c>
      <c r="B380" s="789">
        <v>1724.5606821337724</v>
      </c>
      <c r="C380" s="789">
        <v>2446.0117282384404</v>
      </c>
      <c r="D380" s="789">
        <v>2825.1810183938837</v>
      </c>
      <c r="E380" s="789">
        <v>3155.727197545968</v>
      </c>
      <c r="F380" s="789">
        <v>3471.2999173005651</v>
      </c>
      <c r="G380" s="789">
        <v>3773.3030101057147</v>
      </c>
    </row>
    <row r="381" spans="1:7">
      <c r="A381" s="790">
        <v>19600</v>
      </c>
      <c r="B381" s="789">
        <v>1727.232226265917</v>
      </c>
      <c r="C381" s="789">
        <v>2449.7894388729842</v>
      </c>
      <c r="D381" s="789">
        <v>2829.523584822723</v>
      </c>
      <c r="E381" s="789">
        <v>3160.5778442469814</v>
      </c>
      <c r="F381" s="789">
        <v>3476.6356286716796</v>
      </c>
      <c r="G381" s="789">
        <v>3779.1029283661151</v>
      </c>
    </row>
    <row r="382" spans="1:7">
      <c r="A382" s="790">
        <v>19650</v>
      </c>
      <c r="B382" s="789">
        <v>1729.3670195303287</v>
      </c>
      <c r="C382" s="789">
        <v>2452.7372217235861</v>
      </c>
      <c r="D382" s="789">
        <v>2832.8368798779647</v>
      </c>
      <c r="E382" s="789">
        <v>3164.2787948236864</v>
      </c>
      <c r="F382" s="789">
        <v>3480.706674306055</v>
      </c>
      <c r="G382" s="789">
        <v>3783.5281549706815</v>
      </c>
    </row>
    <row r="383" spans="1:7">
      <c r="A383" s="790">
        <v>19700</v>
      </c>
      <c r="B383" s="789">
        <v>1731.5018127947403</v>
      </c>
      <c r="C383" s="789">
        <v>2455.685004574188</v>
      </c>
      <c r="D383" s="789">
        <v>2836.150174933206</v>
      </c>
      <c r="E383" s="789">
        <v>3167.9797454003915</v>
      </c>
      <c r="F383" s="789">
        <v>3484.7777199404304</v>
      </c>
      <c r="G383" s="789">
        <v>3787.9533815752475</v>
      </c>
    </row>
    <row r="384" spans="1:7">
      <c r="A384" s="790">
        <v>19750</v>
      </c>
      <c r="B384" s="789">
        <v>1733.6366060591522</v>
      </c>
      <c r="C384" s="789">
        <v>2458.63278742479</v>
      </c>
      <c r="D384" s="789">
        <v>2839.4634699884477</v>
      </c>
      <c r="E384" s="789">
        <v>3171.6806959770961</v>
      </c>
      <c r="F384" s="789">
        <v>3488.8487655748058</v>
      </c>
      <c r="G384" s="789">
        <v>3792.3786081798135</v>
      </c>
    </row>
    <row r="385" spans="1:7">
      <c r="A385" s="790">
        <v>19800</v>
      </c>
      <c r="B385" s="789">
        <v>1735.7713993235639</v>
      </c>
      <c r="C385" s="789">
        <v>2461.5805702753919</v>
      </c>
      <c r="D385" s="789">
        <v>2842.7767650436895</v>
      </c>
      <c r="E385" s="789">
        <v>3175.3816465538011</v>
      </c>
      <c r="F385" s="789">
        <v>3492.9198112091817</v>
      </c>
      <c r="G385" s="789">
        <v>3796.8038347843799</v>
      </c>
    </row>
    <row r="386" spans="1:7">
      <c r="A386" s="790">
        <v>19850</v>
      </c>
      <c r="B386" s="789">
        <v>1737.9061925879755</v>
      </c>
      <c r="C386" s="789">
        <v>2464.5283531259938</v>
      </c>
      <c r="D386" s="789">
        <v>2846.0900600989312</v>
      </c>
      <c r="E386" s="789">
        <v>3179.0825971305062</v>
      </c>
      <c r="F386" s="789">
        <v>3496.9908568435571</v>
      </c>
      <c r="G386" s="789">
        <v>3801.2290613889459</v>
      </c>
    </row>
    <row r="387" spans="1:7">
      <c r="A387" s="790">
        <v>19900</v>
      </c>
      <c r="B387" s="789">
        <v>1740.0409858523872</v>
      </c>
      <c r="C387" s="789">
        <v>2467.4761359765957</v>
      </c>
      <c r="D387" s="789">
        <v>2849.4033551541729</v>
      </c>
      <c r="E387" s="789">
        <v>3182.7835477072108</v>
      </c>
      <c r="F387" s="789">
        <v>3501.0619024779321</v>
      </c>
      <c r="G387" s="789">
        <v>3805.6542879935118</v>
      </c>
    </row>
    <row r="388" spans="1:7">
      <c r="A388" s="790">
        <v>19950</v>
      </c>
      <c r="B388" s="789">
        <v>1742.175779116799</v>
      </c>
      <c r="C388" s="789">
        <v>2470.4239188271977</v>
      </c>
      <c r="D388" s="789">
        <v>2852.7166502094146</v>
      </c>
      <c r="E388" s="789">
        <v>3186.4844982839163</v>
      </c>
      <c r="F388" s="789">
        <v>3505.132948112308</v>
      </c>
      <c r="G388" s="789">
        <v>3810.0795145980783</v>
      </c>
    </row>
    <row r="389" spans="1:7">
      <c r="A389" s="790">
        <v>20000</v>
      </c>
      <c r="B389" s="789">
        <v>1744.3105723812107</v>
      </c>
      <c r="C389" s="789">
        <v>2473.3717016777996</v>
      </c>
      <c r="D389" s="789">
        <v>2856.0299452646564</v>
      </c>
      <c r="E389" s="789">
        <v>3190.1854488606209</v>
      </c>
      <c r="F389" s="789">
        <v>3509.2039937466834</v>
      </c>
      <c r="G389" s="789">
        <v>3814.5047412026443</v>
      </c>
    </row>
  </sheetData>
  <sheetProtection password="CA2C" sheet="1" objects="1" scenarios="1"/>
  <mergeCells count="1">
    <mergeCell ref="A2:G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0"/>
  <dimension ref="A1:D22"/>
  <sheetViews>
    <sheetView workbookViewId="0">
      <selection activeCell="B8" sqref="B8"/>
    </sheetView>
  </sheetViews>
  <sheetFormatPr defaultColWidth="3.5703125" defaultRowHeight="12.75"/>
  <cols>
    <col min="1" max="2" width="10.7109375" style="6" customWidth="1"/>
    <col min="3" max="3" width="11.85546875" style="14" customWidth="1"/>
    <col min="4" max="4" width="3.85546875" style="6" customWidth="1"/>
    <col min="5" max="16384" width="3.5703125" style="6"/>
  </cols>
  <sheetData>
    <row r="1" spans="1:4" ht="40.5" customHeight="1">
      <c r="A1" s="1930" t="s">
        <v>1</v>
      </c>
      <c r="B1" s="1931"/>
      <c r="C1" s="1932"/>
      <c r="D1" s="8"/>
    </row>
    <row r="2" spans="1:4" ht="36" customHeight="1">
      <c r="A2" s="1933" t="s">
        <v>2</v>
      </c>
      <c r="B2" s="1934"/>
      <c r="C2" s="2" t="s">
        <v>3</v>
      </c>
      <c r="D2" s="1"/>
    </row>
    <row r="3" spans="1:4">
      <c r="A3" s="3">
        <v>0</v>
      </c>
      <c r="B3" s="4">
        <v>3</v>
      </c>
      <c r="C3" s="9">
        <v>0</v>
      </c>
    </row>
    <row r="4" spans="1:4">
      <c r="A4" s="10">
        <v>4</v>
      </c>
      <c r="B4" s="11">
        <v>20</v>
      </c>
      <c r="C4" s="9">
        <v>1.2E-2</v>
      </c>
    </row>
    <row r="5" spans="1:4">
      <c r="A5" s="10">
        <v>21</v>
      </c>
      <c r="B5" s="11">
        <v>38</v>
      </c>
      <c r="C5" s="9">
        <v>3.1E-2</v>
      </c>
    </row>
    <row r="6" spans="1:4">
      <c r="A6" s="10">
        <v>39</v>
      </c>
      <c r="B6" s="11">
        <v>57</v>
      </c>
      <c r="C6" s="9">
        <v>0.05</v>
      </c>
    </row>
    <row r="7" spans="1:4">
      <c r="A7" s="10">
        <v>58</v>
      </c>
      <c r="B7" s="11">
        <v>72</v>
      </c>
      <c r="C7" s="9">
        <v>8.5000000000000006E-2</v>
      </c>
    </row>
    <row r="8" spans="1:4">
      <c r="A8" s="10">
        <v>73</v>
      </c>
      <c r="B8" s="11">
        <v>87</v>
      </c>
      <c r="C8" s="9">
        <v>0.105</v>
      </c>
    </row>
    <row r="9" spans="1:4">
      <c r="A9" s="10">
        <v>88</v>
      </c>
      <c r="B9" s="11">
        <v>115</v>
      </c>
      <c r="C9" s="9">
        <v>0.161</v>
      </c>
    </row>
    <row r="10" spans="1:4">
      <c r="A10" s="10">
        <v>116</v>
      </c>
      <c r="B10" s="11">
        <v>129</v>
      </c>
      <c r="C10" s="9">
        <v>0.19500000000000001</v>
      </c>
    </row>
    <row r="11" spans="1:4">
      <c r="A11" s="5">
        <v>130</v>
      </c>
      <c r="B11" s="12">
        <v>142</v>
      </c>
      <c r="C11" s="13">
        <v>0.253</v>
      </c>
    </row>
    <row r="12" spans="1:4">
      <c r="A12" s="10">
        <v>143</v>
      </c>
      <c r="B12" s="11">
        <v>152</v>
      </c>
      <c r="C12" s="9">
        <v>0.307</v>
      </c>
    </row>
    <row r="13" spans="1:4">
      <c r="A13" s="10">
        <v>153</v>
      </c>
      <c r="B13" s="11">
        <v>162</v>
      </c>
      <c r="C13" s="9">
        <v>0.36199999999999999</v>
      </c>
    </row>
    <row r="14" spans="1:4">
      <c r="A14" s="10">
        <v>163</v>
      </c>
      <c r="B14" s="11">
        <v>172</v>
      </c>
      <c r="C14" s="9">
        <v>0.42199999999999999</v>
      </c>
    </row>
    <row r="15" spans="1:4">
      <c r="A15" s="5">
        <v>173</v>
      </c>
      <c r="B15" s="12">
        <v>182</v>
      </c>
      <c r="C15" s="13">
        <v>0.48599999999999999</v>
      </c>
    </row>
    <row r="17" spans="1:3" ht="30" customHeight="1">
      <c r="A17" s="1930" t="s">
        <v>4</v>
      </c>
      <c r="B17" s="1931"/>
      <c r="C17" s="1932"/>
    </row>
    <row r="18" spans="1:3" ht="30" customHeight="1">
      <c r="A18" s="1933" t="s">
        <v>2</v>
      </c>
      <c r="B18" s="1934"/>
      <c r="C18" s="2" t="s">
        <v>3</v>
      </c>
    </row>
    <row r="19" spans="1:3">
      <c r="A19" s="10">
        <v>143</v>
      </c>
      <c r="B19" s="11">
        <v>152</v>
      </c>
      <c r="C19" s="9">
        <v>0.27500000000000002</v>
      </c>
    </row>
    <row r="20" spans="1:3">
      <c r="A20" s="10">
        <v>153</v>
      </c>
      <c r="B20" s="11">
        <v>162</v>
      </c>
      <c r="C20" s="9">
        <v>0.29299999999999998</v>
      </c>
    </row>
    <row r="21" spans="1:3">
      <c r="A21" s="10">
        <v>163</v>
      </c>
      <c r="B21" s="11">
        <v>172</v>
      </c>
      <c r="C21" s="9">
        <v>0.312</v>
      </c>
    </row>
    <row r="22" spans="1:3">
      <c r="A22" s="5">
        <v>173</v>
      </c>
      <c r="B22" s="12">
        <v>182</v>
      </c>
      <c r="C22" s="13">
        <v>0.33100000000000002</v>
      </c>
    </row>
  </sheetData>
  <sheetProtection password="CA2C" sheet="1" objects="1" scenarios="1"/>
  <mergeCells count="4">
    <mergeCell ref="A17:C17"/>
    <mergeCell ref="A18:B18"/>
    <mergeCell ref="A2:B2"/>
    <mergeCell ref="A1:C1"/>
  </mergeCells>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dimension ref="A2:I34"/>
  <sheetViews>
    <sheetView workbookViewId="0">
      <selection activeCell="A2" sqref="A2:C2"/>
    </sheetView>
  </sheetViews>
  <sheetFormatPr defaultRowHeight="12.75"/>
  <cols>
    <col min="1" max="2" width="4.7109375" style="363" customWidth="1"/>
    <col min="3" max="3" width="53.28515625" style="363" customWidth="1"/>
    <col min="4" max="4" width="43.85546875" style="363" customWidth="1"/>
    <col min="5" max="9" width="30.7109375" style="363" customWidth="1"/>
  </cols>
  <sheetData>
    <row r="2" spans="1:9" ht="14.25">
      <c r="A2" s="1938" t="s">
        <v>346</v>
      </c>
      <c r="B2" s="1938"/>
      <c r="C2" s="1939"/>
      <c r="D2" s="739" t="s">
        <v>347</v>
      </c>
    </row>
    <row r="3" spans="1:9" s="711" customFormat="1">
      <c r="A3" s="704"/>
      <c r="B3" s="704"/>
      <c r="C3" s="699"/>
      <c r="D3" s="588"/>
      <c r="E3" s="363"/>
      <c r="F3" s="363"/>
      <c r="G3" s="363"/>
      <c r="H3" s="363"/>
      <c r="I3" s="363"/>
    </row>
    <row r="4" spans="1:9" s="711" customFormat="1" ht="14.25">
      <c r="A4" s="1938" t="s">
        <v>561</v>
      </c>
      <c r="B4" s="1938"/>
      <c r="C4" s="1938"/>
      <c r="D4" s="1938"/>
      <c r="E4" s="363"/>
      <c r="F4" s="363"/>
      <c r="G4" s="363"/>
      <c r="H4" s="363"/>
      <c r="I4" s="363"/>
    </row>
    <row r="5" spans="1:9" s="711" customFormat="1">
      <c r="A5" s="1290" t="s">
        <v>560</v>
      </c>
      <c r="B5" s="944"/>
      <c r="C5" s="944"/>
      <c r="D5" s="944"/>
      <c r="E5" s="363"/>
      <c r="F5" s="363"/>
      <c r="G5" s="363"/>
      <c r="H5" s="363"/>
      <c r="I5" s="363"/>
    </row>
    <row r="6" spans="1:9" s="711" customFormat="1">
      <c r="A6" s="704"/>
      <c r="B6" s="1290" t="s">
        <v>562</v>
      </c>
      <c r="C6" s="944"/>
      <c r="D6" s="759" t="s">
        <v>128</v>
      </c>
      <c r="E6" s="363"/>
      <c r="F6" s="363"/>
      <c r="G6" s="363"/>
      <c r="H6" s="363"/>
      <c r="I6" s="363"/>
    </row>
    <row r="7" spans="1:9" s="711" customFormat="1">
      <c r="A7" s="704"/>
      <c r="B7" s="1290" t="s">
        <v>563</v>
      </c>
      <c r="C7" s="945"/>
      <c r="D7" s="758"/>
      <c r="E7" s="363"/>
      <c r="F7" s="363"/>
      <c r="G7" s="363"/>
      <c r="H7" s="363"/>
      <c r="I7" s="363"/>
    </row>
    <row r="8" spans="1:9" s="711" customFormat="1">
      <c r="A8" s="704"/>
      <c r="B8" s="704"/>
      <c r="C8" s="700"/>
      <c r="D8" s="588"/>
      <c r="E8" s="363"/>
      <c r="F8" s="363"/>
      <c r="G8" s="363"/>
      <c r="H8" s="363"/>
      <c r="I8" s="363"/>
    </row>
    <row r="10" spans="1:9">
      <c r="A10" s="1590" t="s">
        <v>564</v>
      </c>
      <c r="B10" s="1590"/>
      <c r="C10" s="945"/>
      <c r="D10" s="916"/>
    </row>
    <row r="11" spans="1:9">
      <c r="B11" s="1942" t="s">
        <v>431</v>
      </c>
      <c r="C11" s="1943"/>
      <c r="D11" s="740" t="s">
        <v>484</v>
      </c>
    </row>
    <row r="12" spans="1:9">
      <c r="B12" s="1940" t="s">
        <v>432</v>
      </c>
      <c r="C12" s="1941"/>
      <c r="D12" s="741" t="s">
        <v>485</v>
      </c>
    </row>
    <row r="13" spans="1:9">
      <c r="B13" s="1935" t="s">
        <v>486</v>
      </c>
      <c r="C13" s="1409"/>
      <c r="D13" s="368"/>
    </row>
    <row r="14" spans="1:9">
      <c r="B14" s="742"/>
      <c r="C14" s="743" t="s">
        <v>487</v>
      </c>
      <c r="D14" s="740" t="s">
        <v>484</v>
      </c>
    </row>
    <row r="15" spans="1:9">
      <c r="B15" s="661"/>
      <c r="C15" s="744" t="s">
        <v>488</v>
      </c>
      <c r="D15" s="745" t="s">
        <v>548</v>
      </c>
    </row>
    <row r="16" spans="1:9">
      <c r="B16" s="661"/>
      <c r="C16" s="744" t="s">
        <v>489</v>
      </c>
      <c r="D16" s="745" t="s">
        <v>490</v>
      </c>
    </row>
    <row r="17" spans="1:9" s="687" customFormat="1">
      <c r="A17" s="363"/>
      <c r="B17" s="661"/>
      <c r="C17" s="744" t="s">
        <v>509</v>
      </c>
      <c r="D17" s="745" t="s">
        <v>549</v>
      </c>
      <c r="E17" s="363"/>
      <c r="F17" s="363"/>
      <c r="G17" s="363"/>
      <c r="H17" s="363"/>
      <c r="I17" s="363"/>
    </row>
    <row r="18" spans="1:9">
      <c r="B18" s="661"/>
      <c r="C18" s="744" t="s">
        <v>491</v>
      </c>
      <c r="D18" s="746" t="s">
        <v>550</v>
      </c>
    </row>
    <row r="19" spans="1:9">
      <c r="C19" s="747" t="s">
        <v>493</v>
      </c>
      <c r="D19" s="746" t="s">
        <v>492</v>
      </c>
    </row>
    <row r="20" spans="1:9">
      <c r="C20" s="747" t="s">
        <v>494</v>
      </c>
      <c r="D20" s="745" t="s">
        <v>103</v>
      </c>
    </row>
    <row r="21" spans="1:9">
      <c r="B21" s="742"/>
      <c r="C21" s="748" t="s">
        <v>495</v>
      </c>
      <c r="D21" s="741" t="s">
        <v>496</v>
      </c>
    </row>
    <row r="22" spans="1:9">
      <c r="B22" s="1944" t="s">
        <v>497</v>
      </c>
      <c r="C22" s="1945"/>
      <c r="D22" s="368"/>
    </row>
    <row r="23" spans="1:9">
      <c r="B23" s="1946" t="s">
        <v>499</v>
      </c>
      <c r="C23" s="1947"/>
      <c r="D23" s="740" t="s">
        <v>498</v>
      </c>
    </row>
    <row r="24" spans="1:9">
      <c r="B24" s="749"/>
      <c r="C24" s="744" t="s">
        <v>500</v>
      </c>
      <c r="D24" s="750" t="s">
        <v>513</v>
      </c>
    </row>
    <row r="25" spans="1:9">
      <c r="B25" s="742"/>
      <c r="C25" s="744" t="s">
        <v>501</v>
      </c>
      <c r="D25" s="750" t="s">
        <v>514</v>
      </c>
    </row>
    <row r="26" spans="1:9">
      <c r="B26" s="742"/>
      <c r="C26" s="744" t="s">
        <v>505</v>
      </c>
      <c r="D26" s="751" t="s">
        <v>502</v>
      </c>
    </row>
    <row r="27" spans="1:9" ht="12.75" customHeight="1">
      <c r="B27" s="742"/>
      <c r="C27" s="752" t="s">
        <v>510</v>
      </c>
      <c r="D27" s="753" t="s">
        <v>512</v>
      </c>
    </row>
    <row r="28" spans="1:9" s="697" customFormat="1" ht="12.75" customHeight="1">
      <c r="A28" s="363"/>
      <c r="B28" s="754"/>
      <c r="C28" s="752" t="s">
        <v>503</v>
      </c>
      <c r="D28" s="753" t="s">
        <v>511</v>
      </c>
      <c r="E28" s="363"/>
      <c r="F28" s="363"/>
      <c r="G28" s="363"/>
      <c r="H28" s="363"/>
      <c r="I28" s="363"/>
    </row>
    <row r="29" spans="1:9">
      <c r="B29" s="1936" t="s">
        <v>504</v>
      </c>
      <c r="C29" s="1948"/>
      <c r="D29" s="745" t="s">
        <v>498</v>
      </c>
    </row>
    <row r="30" spans="1:9">
      <c r="B30" s="749"/>
      <c r="C30" s="744" t="s">
        <v>500</v>
      </c>
      <c r="D30" s="750" t="s">
        <v>513</v>
      </c>
    </row>
    <row r="31" spans="1:9">
      <c r="B31" s="742"/>
      <c r="C31" s="744" t="s">
        <v>501</v>
      </c>
      <c r="D31" s="750" t="s">
        <v>514</v>
      </c>
    </row>
    <row r="32" spans="1:9">
      <c r="B32" s="754"/>
      <c r="C32" s="744" t="s">
        <v>505</v>
      </c>
      <c r="D32" s="751" t="s">
        <v>502</v>
      </c>
    </row>
    <row r="33" spans="2:4">
      <c r="B33" s="1936" t="s">
        <v>540</v>
      </c>
      <c r="C33" s="1937"/>
      <c r="D33" s="750" t="s">
        <v>541</v>
      </c>
    </row>
    <row r="34" spans="2:4">
      <c r="B34" s="749"/>
      <c r="C34" s="755" t="s">
        <v>542</v>
      </c>
      <c r="D34" s="756">
        <v>5</v>
      </c>
    </row>
  </sheetData>
  <sheetProtection password="CA2C" sheet="1" objects="1" scenarios="1"/>
  <mergeCells count="13">
    <mergeCell ref="B13:C13"/>
    <mergeCell ref="A10:D10"/>
    <mergeCell ref="B33:C33"/>
    <mergeCell ref="A2:C2"/>
    <mergeCell ref="B12:C12"/>
    <mergeCell ref="B11:C11"/>
    <mergeCell ref="B22:C22"/>
    <mergeCell ref="B23:C23"/>
    <mergeCell ref="B29:C29"/>
    <mergeCell ref="A4:D4"/>
    <mergeCell ref="A5:D5"/>
    <mergeCell ref="B6:C6"/>
    <mergeCell ref="B7:C7"/>
  </mergeCells>
  <dataValidations xWindow="846" yWindow="227" count="2">
    <dataValidation allowBlank="1" showInputMessage="1" showErrorMessage="1" promptTitle="County" prompt="Insert name of County that will appear in all pleadings automatically until change is made in this box.  Make sure County name appears in all CAPS." sqref="D2:D3 D6"/>
    <dataValidation allowBlank="1" showInputMessage="1" showErrorMessage="1" promptTitle="Judicial Officer" prompt="Insert customized signature line for an individual judicial officer, e.g. &quot;Judge Elizabeth Jones&quot; or &quot;Honorable John Smith&quot;.  Remember to delete custom name when sharing with someone else." sqref="D7"/>
  </dataValidations>
  <hyperlinks>
    <hyperlink ref="D26" r:id="rId1"/>
    <hyperlink ref="D32"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sheetPr codeName="Sheet2"/>
  <dimension ref="A1:R140"/>
  <sheetViews>
    <sheetView workbookViewId="0">
      <selection activeCell="L102" sqref="L102"/>
    </sheetView>
  </sheetViews>
  <sheetFormatPr defaultRowHeight="12.75"/>
  <cols>
    <col min="1" max="1" width="5.7109375" style="487" customWidth="1"/>
    <col min="2" max="2" width="3.28515625" style="99" customWidth="1"/>
    <col min="3" max="3" width="4.42578125" customWidth="1"/>
    <col min="4" max="4" width="4.85546875" customWidth="1"/>
    <col min="5" max="5" width="4.42578125" customWidth="1"/>
    <col min="6" max="6" width="2.140625" customWidth="1"/>
    <col min="7" max="7" width="4.28515625" customWidth="1"/>
    <col min="8" max="8" width="3.7109375" customWidth="1"/>
    <col min="9" max="9" width="4" customWidth="1"/>
    <col min="10" max="10" width="4.7109375" customWidth="1"/>
    <col min="11" max="11" width="4" customWidth="1"/>
    <col min="12" max="13" width="11.7109375" customWidth="1"/>
    <col min="14" max="14" width="10.7109375" customWidth="1"/>
    <col min="15" max="15" width="11.28515625" customWidth="1"/>
    <col min="16" max="16" width="9.42578125" customWidth="1"/>
    <col min="17" max="17" width="55.28515625" customWidth="1"/>
    <col min="18" max="20" width="44" customWidth="1"/>
    <col min="21" max="50" width="3.7109375" customWidth="1"/>
  </cols>
  <sheetData>
    <row r="1" spans="1:18" ht="20.25" customHeight="1">
      <c r="A1" s="510"/>
      <c r="B1" s="1423" t="s">
        <v>82</v>
      </c>
      <c r="C1" s="1332"/>
      <c r="D1" s="1332"/>
      <c r="E1" s="1332"/>
      <c r="F1" s="1332"/>
      <c r="G1" s="1332"/>
      <c r="H1" s="1332"/>
      <c r="I1" s="1332"/>
      <c r="J1" s="1332"/>
      <c r="K1" s="1332"/>
      <c r="L1" s="1332"/>
      <c r="M1" s="1332"/>
      <c r="N1" s="1332"/>
      <c r="O1" s="1332"/>
      <c r="P1" s="1332"/>
      <c r="Q1" s="363"/>
    </row>
    <row r="2" spans="1:18" ht="17.25" customHeight="1">
      <c r="A2" s="498"/>
      <c r="B2" s="1423" t="str">
        <f>County!D2&amp;" COUNTY"</f>
        <v>MARICOPA COUNTY</v>
      </c>
      <c r="C2" s="1332"/>
      <c r="D2" s="1332"/>
      <c r="E2" s="1332"/>
      <c r="F2" s="1332"/>
      <c r="G2" s="1332"/>
      <c r="H2" s="1332"/>
      <c r="I2" s="1332"/>
      <c r="J2" s="1332"/>
      <c r="K2" s="1332"/>
      <c r="L2" s="1332"/>
      <c r="M2" s="1332"/>
      <c r="N2" s="1332"/>
      <c r="O2" s="1332"/>
      <c r="P2" s="1332"/>
      <c r="Q2" s="363"/>
    </row>
    <row r="3" spans="1:18" ht="12.75" customHeight="1">
      <c r="A3" s="498"/>
      <c r="B3" s="364"/>
      <c r="C3" s="365"/>
      <c r="D3" s="366"/>
      <c r="E3" s="366"/>
      <c r="F3" s="366"/>
      <c r="G3" s="366"/>
      <c r="H3" s="366"/>
      <c r="I3" s="366"/>
      <c r="J3" s="366"/>
      <c r="K3" s="366"/>
      <c r="L3" s="363"/>
      <c r="M3" s="363"/>
      <c r="N3" s="363"/>
      <c r="O3" s="363"/>
      <c r="P3" s="363"/>
      <c r="Q3" s="363"/>
    </row>
    <row r="4" spans="1:18" ht="30.75" customHeight="1">
      <c r="A4" s="498"/>
      <c r="B4" s="1424" t="str">
        <f>IF(NOT(ISBLANK(Worksheet!B34)),Worksheet!B34,"")</f>
        <v/>
      </c>
      <c r="C4" s="1424"/>
      <c r="D4" s="1424"/>
      <c r="E4" s="1424"/>
      <c r="F4" s="1424"/>
      <c r="G4" s="1424"/>
      <c r="H4" s="1424"/>
      <c r="I4" s="1424"/>
      <c r="J4" s="1424"/>
      <c r="K4" s="1424"/>
      <c r="L4" s="367" t="str">
        <f>IF(NOT(ISBLANK(Worksheet!C32)),")","")</f>
        <v/>
      </c>
      <c r="M4" s="363"/>
      <c r="N4" s="363"/>
      <c r="O4" s="363"/>
      <c r="P4" s="363"/>
      <c r="Q4" s="363"/>
    </row>
    <row r="5" spans="1:18" ht="15" customHeight="1">
      <c r="A5" s="498"/>
      <c r="B5" s="1425" t="str">
        <f>IF(NOT(ISBLANK(Worksheet!T10)),"("&amp;Worksheet!F12&amp;")",IF(NOT(ISBLANK(Worksheet!F12)),Worksheet!F12,""))</f>
        <v/>
      </c>
      <c r="C5" s="1426"/>
      <c r="D5" s="1426"/>
      <c r="E5" s="1426"/>
      <c r="F5" s="1426"/>
      <c r="G5" s="1426"/>
      <c r="H5" s="1426"/>
      <c r="I5" s="1426"/>
      <c r="J5" s="1426"/>
      <c r="K5" s="1426"/>
      <c r="L5" s="368" t="s">
        <v>83</v>
      </c>
      <c r="M5" s="1431" t="s">
        <v>84</v>
      </c>
      <c r="N5" s="1436" t="str">
        <f>IF(ISBLANK(Worksheet!S34),"",Worksheet!S34)</f>
        <v/>
      </c>
      <c r="O5" s="1435"/>
      <c r="P5" s="1435"/>
      <c r="Q5" s="363"/>
    </row>
    <row r="6" spans="1:18" ht="12.75" customHeight="1">
      <c r="A6" s="498"/>
      <c r="B6" s="1428"/>
      <c r="C6" s="1430"/>
      <c r="D6" s="1430"/>
      <c r="E6" s="1430"/>
      <c r="F6" s="1430"/>
      <c r="G6" s="1430"/>
      <c r="H6" s="1430"/>
      <c r="I6" s="1428" t="s">
        <v>252</v>
      </c>
      <c r="J6" s="1430"/>
      <c r="K6" s="1430"/>
      <c r="L6" s="361" t="s">
        <v>83</v>
      </c>
      <c r="M6" s="1431"/>
      <c r="N6" s="1437"/>
      <c r="O6" s="1437"/>
      <c r="P6" s="1437"/>
      <c r="Q6" s="363"/>
    </row>
    <row r="7" spans="1:18" ht="12.75" customHeight="1">
      <c r="A7" s="498"/>
      <c r="B7" s="1331" t="s">
        <v>85</v>
      </c>
      <c r="C7" s="1332"/>
      <c r="D7" s="1332"/>
      <c r="E7" s="1332"/>
      <c r="F7" s="1332"/>
      <c r="G7" s="1332"/>
      <c r="H7" s="1332"/>
      <c r="I7" s="1332"/>
      <c r="J7" s="1332"/>
      <c r="K7" s="1332"/>
      <c r="L7" s="368" t="s">
        <v>83</v>
      </c>
      <c r="M7" s="1432" t="s">
        <v>109</v>
      </c>
      <c r="N7" s="1438" t="str">
        <f>IF(ISBLANK(Worksheet!I242),"",Worksheet!I242)</f>
        <v/>
      </c>
      <c r="O7" s="1439"/>
      <c r="P7" s="1439"/>
      <c r="Q7" s="624"/>
      <c r="R7" s="546"/>
    </row>
    <row r="8" spans="1:18" ht="12.75" customHeight="1">
      <c r="A8" s="498"/>
      <c r="B8" s="1331"/>
      <c r="C8" s="1332"/>
      <c r="D8" s="1332"/>
      <c r="E8" s="1332"/>
      <c r="F8" s="1332"/>
      <c r="G8" s="1332"/>
      <c r="H8" s="1332"/>
      <c r="I8" s="1332"/>
      <c r="J8" s="1332"/>
      <c r="K8" s="1332"/>
      <c r="L8" s="368" t="s">
        <v>83</v>
      </c>
      <c r="M8" s="1433"/>
      <c r="N8" s="1440"/>
      <c r="O8" s="1440"/>
      <c r="P8" s="1440"/>
      <c r="Q8" s="624"/>
      <c r="R8" s="546"/>
    </row>
    <row r="9" spans="1:18" ht="12.75" customHeight="1">
      <c r="A9" s="498"/>
      <c r="B9" s="1427" t="str">
        <f>IF(NOT(ISBLANK(Worksheet!B40)),Worksheet!B40,"")</f>
        <v/>
      </c>
      <c r="C9" s="1332"/>
      <c r="D9" s="1332"/>
      <c r="E9" s="1332"/>
      <c r="F9" s="1332"/>
      <c r="G9" s="1332"/>
      <c r="H9" s="1332"/>
      <c r="I9" s="1332"/>
      <c r="J9" s="1332"/>
      <c r="K9" s="1332"/>
      <c r="L9" s="369" t="s">
        <v>83</v>
      </c>
      <c r="M9" s="363"/>
      <c r="N9" s="363"/>
      <c r="O9" s="368"/>
      <c r="P9" s="368"/>
      <c r="Q9" s="363"/>
    </row>
    <row r="10" spans="1:18" ht="12.75" customHeight="1">
      <c r="A10" s="498"/>
      <c r="B10" s="1332"/>
      <c r="C10" s="1332"/>
      <c r="D10" s="1332"/>
      <c r="E10" s="1332"/>
      <c r="F10" s="1332"/>
      <c r="G10" s="1332"/>
      <c r="H10" s="1332"/>
      <c r="I10" s="1332"/>
      <c r="J10" s="1332"/>
      <c r="K10" s="1332"/>
      <c r="L10" s="369" t="s">
        <v>83</v>
      </c>
      <c r="M10" s="363"/>
      <c r="N10" s="363"/>
      <c r="O10" s="360"/>
      <c r="P10" s="368"/>
      <c r="Q10" s="363"/>
    </row>
    <row r="11" spans="1:18" ht="12.75" customHeight="1">
      <c r="A11" s="498"/>
      <c r="B11" s="1426"/>
      <c r="C11" s="1426"/>
      <c r="D11" s="1426"/>
      <c r="E11" s="1426"/>
      <c r="F11" s="1426"/>
      <c r="G11" s="1426"/>
      <c r="H11" s="1426"/>
      <c r="I11" s="1426"/>
      <c r="J11" s="1426"/>
      <c r="K11" s="1426"/>
      <c r="L11" s="369" t="s">
        <v>83</v>
      </c>
      <c r="M11" s="1434" t="s">
        <v>89</v>
      </c>
      <c r="N11" s="1435"/>
      <c r="O11" s="1435"/>
      <c r="P11" s="1435"/>
      <c r="Q11" s="363"/>
    </row>
    <row r="12" spans="1:18" ht="12.75" customHeight="1">
      <c r="A12" s="498"/>
      <c r="B12" s="1441"/>
      <c r="C12" s="1080"/>
      <c r="D12" s="1080"/>
      <c r="E12" s="1080"/>
      <c r="F12" s="1080"/>
      <c r="G12" s="1080"/>
      <c r="H12" s="1080"/>
      <c r="I12" s="1428" t="s">
        <v>239</v>
      </c>
      <c r="J12" s="1080"/>
      <c r="K12" s="1080"/>
      <c r="L12" s="369" t="s">
        <v>83</v>
      </c>
      <c r="M12" s="1435"/>
      <c r="N12" s="1435"/>
      <c r="O12" s="1435"/>
      <c r="P12" s="1435"/>
      <c r="Q12" s="363"/>
    </row>
    <row r="13" spans="1:18" ht="12.75" customHeight="1">
      <c r="A13" s="498"/>
      <c r="B13" s="1429"/>
      <c r="C13" s="1426"/>
      <c r="D13" s="1426"/>
      <c r="E13" s="1426"/>
      <c r="F13" s="1426"/>
      <c r="G13" s="1426"/>
      <c r="H13" s="1426"/>
      <c r="I13" s="1426"/>
      <c r="J13" s="1426"/>
      <c r="K13" s="1426"/>
      <c r="L13" s="369" t="s">
        <v>83</v>
      </c>
      <c r="M13" s="363"/>
      <c r="N13" s="363"/>
      <c r="O13" s="368"/>
      <c r="P13" s="368"/>
      <c r="Q13" s="363"/>
    </row>
    <row r="14" spans="1:18" ht="12.75" customHeight="1">
      <c r="A14" s="498"/>
      <c r="B14" s="370"/>
      <c r="C14" s="360"/>
      <c r="D14" s="371"/>
      <c r="E14" s="371"/>
      <c r="F14" s="360"/>
      <c r="G14" s="360"/>
      <c r="H14" s="360"/>
      <c r="I14" s="360"/>
      <c r="J14" s="360"/>
      <c r="K14" s="360"/>
      <c r="L14" s="362"/>
      <c r="M14" s="363"/>
      <c r="N14" s="363"/>
      <c r="O14" s="363"/>
      <c r="P14" s="363"/>
      <c r="Q14" s="363"/>
    </row>
    <row r="15" spans="1:18" ht="12.75" customHeight="1">
      <c r="A15" s="498"/>
      <c r="B15" s="1405" t="s">
        <v>110</v>
      </c>
      <c r="C15" s="1442"/>
      <c r="D15" s="1442"/>
      <c r="E15" s="1442"/>
      <c r="F15" s="1442"/>
      <c r="G15" s="1442"/>
      <c r="H15" s="1442"/>
      <c r="I15" s="1442"/>
      <c r="J15" s="1442"/>
      <c r="K15" s="1442"/>
      <c r="L15" s="363"/>
      <c r="M15" s="363"/>
      <c r="N15" s="363"/>
      <c r="O15" s="363"/>
      <c r="P15" s="363"/>
      <c r="Q15" s="363"/>
    </row>
    <row r="16" spans="1:18" ht="12.75" customHeight="1">
      <c r="A16" s="498"/>
      <c r="B16" s="364"/>
      <c r="C16" s="368"/>
      <c r="D16" s="371"/>
      <c r="E16" s="371"/>
      <c r="F16" s="368"/>
      <c r="G16" s="368"/>
      <c r="H16" s="368"/>
      <c r="I16" s="368"/>
      <c r="J16" s="368"/>
      <c r="K16" s="368"/>
      <c r="L16" s="363"/>
      <c r="M16" s="363"/>
      <c r="N16" s="363"/>
      <c r="O16" s="363"/>
      <c r="P16" s="363"/>
      <c r="Q16" s="363"/>
    </row>
    <row r="17" spans="1:17" ht="25.5" customHeight="1">
      <c r="A17" s="498"/>
      <c r="B17" s="372" t="s">
        <v>111</v>
      </c>
      <c r="C17" s="1444" t="str">
        <f>IF(AND(Worksheet!U44=1,NOT(ISBLANK(Worksheet!F12)),NOT(ISBLANK(Worksheet!T12))),Worksheet!F12&amp;" (hereafter called 'Father') and "&amp;Worksheet!F14&amp;" (hereafter called 'Mother'), owe a duty to support the following child:",IF(AND(Worksheet!U44=1,Worksheet!X12="x",NOT(ISBLANK(Worksheet!F12))),Worksheet!F14&amp;" (hereafter called 'Father') and "&amp;Worksheet!F12&amp;" (hereafter called 'Mother'), owe a duty to support the following child:",IF(AND(Worksheet!U44&gt;1,NOT(ISBLANK(Worksheet!F12)),NOT(ISBLANK(Worksheet!T12))),Worksheet!F12&amp;" (hereafter called 'Father') and "&amp;Worksheet!F14&amp;" (hereafter called 'Mother'), owe a duty to support the following children:",IF(AND(Worksheet!U44&gt;1,Worksheet!X12="x",NOT(ISBLANK(Worksheet!F12))),Worksheet!F14&amp;" (hereafter called 'Father') and "&amp;Worksheet!F12&amp;" (hereafter called 'Mother'), owe a duty to support the following children:",IF(ISBLANK(Worksheet!F12),"_________________ and _______________ owe a duty to support the following child(ren):",Worksheet!F12&amp;" and "&amp;Worksheet!F14&amp;" owe a duty to support the following children:")))))</f>
        <v>_________________ and _______________ owe a duty to support the following child(ren):</v>
      </c>
      <c r="D17" s="1332"/>
      <c r="E17" s="1332"/>
      <c r="F17" s="1332"/>
      <c r="G17" s="1332"/>
      <c r="H17" s="1332"/>
      <c r="I17" s="1332"/>
      <c r="J17" s="1332"/>
      <c r="K17" s="1332"/>
      <c r="L17" s="1332"/>
      <c r="M17" s="1332"/>
      <c r="N17" s="1332"/>
      <c r="O17" s="1332"/>
      <c r="P17" s="1332"/>
      <c r="Q17" s="363"/>
    </row>
    <row r="18" spans="1:17" ht="12.75" customHeight="1">
      <c r="A18" s="498"/>
      <c r="B18" s="364"/>
      <c r="C18" s="368"/>
      <c r="D18" s="1443" t="s">
        <v>112</v>
      </c>
      <c r="E18" s="1406"/>
      <c r="F18" s="1406"/>
      <c r="G18" s="1406"/>
      <c r="H18" s="363"/>
      <c r="I18" s="363"/>
      <c r="J18" s="363"/>
      <c r="K18" s="363"/>
      <c r="L18" s="373" t="str">
        <f>IF(OR(AND(ISBLANK(Worksheet!M18),ISNUMBER(Worksheet!S18)),AND(ISBLANK(Worksheet!M19),ISNUMBER(Worksheet!S19)),AND(ISBLANK(Worksheet!M20),ISNUMBER(Worksheet!S20)),AND(ISBLANK(Worksheet!M21),ISNUMBER(Worksheet!S21)),AND(ISBLANK(Worksheet!M22),ISNUMBER(Worksheet!S22)),AND(ISBLANK(Worksheet!M23),ISNUMBER(Worksheet!S23))),"Age","")</f>
        <v/>
      </c>
      <c r="M18" s="1398" t="s">
        <v>113</v>
      </c>
      <c r="N18" s="916"/>
      <c r="O18" s="544"/>
      <c r="P18" s="544"/>
      <c r="Q18" s="363"/>
    </row>
    <row r="19" spans="1:17" ht="12.75" customHeight="1">
      <c r="A19" s="498"/>
      <c r="B19" s="364"/>
      <c r="C19" s="368"/>
      <c r="D19" s="1174" t="str">
        <f>IF(NOT(ISBLANK(Worksheet!F18)),Worksheet!F18,"")</f>
        <v/>
      </c>
      <c r="E19" s="1174"/>
      <c r="F19" s="1174"/>
      <c r="G19" s="1409"/>
      <c r="H19" s="1409"/>
      <c r="I19" s="1409"/>
      <c r="J19" s="1409"/>
      <c r="K19" s="363"/>
      <c r="L19" s="374" t="str">
        <f>IF(AND(ISBLANK(Worksheet!M18),ISNUMBER(Worksheet!S18)),Worksheet!S18,"")</f>
        <v/>
      </c>
      <c r="M19" s="1445" t="str">
        <f>IF(ISBLANK(Worksheet!M18),"",Worksheet!M18)</f>
        <v/>
      </c>
      <c r="N19" s="1426"/>
      <c r="O19" s="363"/>
      <c r="P19" s="363"/>
      <c r="Q19" s="363"/>
    </row>
    <row r="20" spans="1:17" ht="12.75" customHeight="1">
      <c r="A20" s="498"/>
      <c r="B20" s="364"/>
      <c r="C20" s="368"/>
      <c r="D20" s="1174" t="str">
        <f>IF(NOT(ISBLANK(Worksheet!F19)),Worksheet!F19,"")</f>
        <v/>
      </c>
      <c r="E20" s="1174"/>
      <c r="F20" s="1174"/>
      <c r="G20" s="1409"/>
      <c r="H20" s="1409"/>
      <c r="I20" s="1409"/>
      <c r="J20" s="1409"/>
      <c r="K20" s="363"/>
      <c r="L20" s="374" t="str">
        <f>IF(AND(ISBLANK(Worksheet!M19),ISNUMBER(Worksheet!S19)),Worksheet!S19,"")</f>
        <v/>
      </c>
      <c r="M20" s="1445" t="str">
        <f>IF(ISBLANK(Worksheet!M19),"",Worksheet!M19)</f>
        <v/>
      </c>
      <c r="N20" s="1426"/>
      <c r="O20" s="363"/>
      <c r="P20" s="363"/>
      <c r="Q20" s="363"/>
    </row>
    <row r="21" spans="1:17" ht="12.75" customHeight="1">
      <c r="A21" s="498"/>
      <c r="B21" s="364"/>
      <c r="C21" s="368"/>
      <c r="D21" s="1174" t="str">
        <f>IF(NOT(ISBLANK(Worksheet!F20)),Worksheet!F20,"")</f>
        <v/>
      </c>
      <c r="E21" s="1174"/>
      <c r="F21" s="1174"/>
      <c r="G21" s="1409"/>
      <c r="H21" s="1409"/>
      <c r="I21" s="1409"/>
      <c r="J21" s="1409"/>
      <c r="K21" s="363"/>
      <c r="L21" s="374" t="str">
        <f>IF(AND(ISBLANK(Worksheet!M20),ISNUMBER(Worksheet!S20)),Worksheet!S20,"")</f>
        <v/>
      </c>
      <c r="M21" s="1445" t="str">
        <f>IF(ISBLANK(Worksheet!M20),"",Worksheet!M20)</f>
        <v/>
      </c>
      <c r="N21" s="1426"/>
      <c r="O21" s="363"/>
      <c r="P21" s="363"/>
      <c r="Q21" s="363"/>
    </row>
    <row r="22" spans="1:17" ht="12.75" customHeight="1">
      <c r="A22" s="498"/>
      <c r="B22" s="364"/>
      <c r="C22" s="368"/>
      <c r="D22" s="1174" t="str">
        <f>IF(NOT(ISBLANK(Worksheet!F21)),Worksheet!F21,"")</f>
        <v/>
      </c>
      <c r="E22" s="1174"/>
      <c r="F22" s="1174"/>
      <c r="G22" s="1409"/>
      <c r="H22" s="1409"/>
      <c r="I22" s="1409"/>
      <c r="J22" s="1409"/>
      <c r="K22" s="363"/>
      <c r="L22" s="374" t="str">
        <f>IF(AND(ISBLANK(Worksheet!M21),ISNUMBER(Worksheet!S21)),Worksheet!S21,"")</f>
        <v/>
      </c>
      <c r="M22" s="1445" t="str">
        <f>IF(ISBLANK(Worksheet!M21),"",Worksheet!M21)</f>
        <v/>
      </c>
      <c r="N22" s="1426"/>
      <c r="O22" s="363"/>
      <c r="P22" s="363"/>
      <c r="Q22" s="363"/>
    </row>
    <row r="23" spans="1:17" ht="12.75" customHeight="1">
      <c r="A23" s="498"/>
      <c r="B23" s="364"/>
      <c r="C23" s="368"/>
      <c r="D23" s="1174" t="str">
        <f>IF(NOT(ISBLANK(Worksheet!F22)),Worksheet!F22,"")</f>
        <v/>
      </c>
      <c r="E23" s="1174"/>
      <c r="F23" s="1174"/>
      <c r="G23" s="1409"/>
      <c r="H23" s="1409"/>
      <c r="I23" s="1409"/>
      <c r="J23" s="1409"/>
      <c r="K23" s="363"/>
      <c r="L23" s="374" t="str">
        <f>IF(AND(ISBLANK(Worksheet!M22),ISNUMBER(Worksheet!S22)),Worksheet!S22,"")</f>
        <v/>
      </c>
      <c r="M23" s="1445" t="str">
        <f>IF(ISBLANK(Worksheet!M22),"",Worksheet!M22)</f>
        <v/>
      </c>
      <c r="N23" s="1426"/>
      <c r="O23" s="363"/>
      <c r="P23" s="363"/>
      <c r="Q23" s="363"/>
    </row>
    <row r="24" spans="1:17" ht="12.75" customHeight="1">
      <c r="A24" s="498"/>
      <c r="B24" s="364"/>
      <c r="C24" s="368"/>
      <c r="D24" s="1174" t="str">
        <f>IF(NOT(ISBLANK(Worksheet!F23)),Worksheet!F23,"")</f>
        <v/>
      </c>
      <c r="E24" s="1174"/>
      <c r="F24" s="1174"/>
      <c r="G24" s="1409"/>
      <c r="H24" s="1409"/>
      <c r="I24" s="1409"/>
      <c r="J24" s="1409"/>
      <c r="K24" s="363"/>
      <c r="L24" s="374" t="str">
        <f>IF(AND(ISBLANK(Worksheet!M23),ISNUMBER(Worksheet!S23)),Worksheet!S23,"")</f>
        <v/>
      </c>
      <c r="M24" s="1445" t="str">
        <f>IF(ISBLANK(Worksheet!M23),"",Worksheet!M23)</f>
        <v/>
      </c>
      <c r="N24" s="1426"/>
      <c r="O24" s="363"/>
      <c r="P24" s="363"/>
      <c r="Q24" s="363"/>
    </row>
    <row r="25" spans="1:17" ht="12.75" customHeight="1">
      <c r="A25" s="498"/>
      <c r="B25" s="1399"/>
      <c r="C25" s="1400"/>
      <c r="D25" s="1400"/>
      <c r="E25" s="1400"/>
      <c r="F25" s="1400"/>
      <c r="G25" s="1400"/>
      <c r="H25" s="1400"/>
      <c r="I25" s="1400"/>
      <c r="J25" s="1400"/>
      <c r="K25" s="1400"/>
      <c r="L25" s="363"/>
      <c r="M25" s="363"/>
      <c r="N25" s="363"/>
      <c r="O25" s="363"/>
      <c r="P25" s="363"/>
      <c r="Q25" s="363"/>
    </row>
    <row r="26" spans="1:17" ht="38.25" customHeight="1">
      <c r="A26" s="498"/>
      <c r="B26" s="375" t="s">
        <v>114</v>
      </c>
      <c r="C26" s="1401" t="s">
        <v>228</v>
      </c>
      <c r="D26" s="1332"/>
      <c r="E26" s="1332"/>
      <c r="F26" s="1332"/>
      <c r="G26" s="1332"/>
      <c r="H26" s="1332"/>
      <c r="I26" s="1332"/>
      <c r="J26" s="1332"/>
      <c r="K26" s="1332"/>
      <c r="L26" s="1332"/>
      <c r="M26" s="1332"/>
      <c r="N26" s="1332"/>
      <c r="O26" s="1332"/>
      <c r="P26" s="1332"/>
      <c r="Q26" s="363"/>
    </row>
    <row r="27" spans="1:17">
      <c r="A27" s="498"/>
      <c r="B27" s="364"/>
      <c r="C27" s="368"/>
      <c r="D27" s="368"/>
      <c r="E27" s="368"/>
      <c r="F27" s="368"/>
      <c r="G27" s="368"/>
      <c r="H27" s="368"/>
      <c r="I27" s="368"/>
      <c r="J27" s="368"/>
      <c r="K27" s="368"/>
      <c r="L27" s="363"/>
      <c r="M27" s="363"/>
      <c r="N27" s="363"/>
      <c r="O27" s="363"/>
      <c r="P27" s="363"/>
      <c r="Q27" s="363"/>
    </row>
    <row r="28" spans="1:17" ht="12.75" customHeight="1">
      <c r="A28" s="498"/>
      <c r="B28" s="375" t="s">
        <v>115</v>
      </c>
      <c r="C28" s="1211" t="s">
        <v>278</v>
      </c>
      <c r="D28" s="1153"/>
      <c r="E28" s="1153"/>
      <c r="F28" s="1465" t="str">
        <f>IF(Worksheet!$B$81="Final Child Support Obligation Payable By Father:","  Father is obligated to pay child support to Mother pursuant to the Arizona Child Support ",IF(Worksheet!$B$81="Final Child Support Obligation Payable By Mother:","  Mother is obligated to pay child support to Father pursuant to the Arizona Child Support ","  ______ is obligated to pay child support to ______ pursuant to the Arizona Child Support"))</f>
        <v xml:space="preserve">  ______ is obligated to pay child support to ______ pursuant to the Arizona Child Support</v>
      </c>
      <c r="G28" s="1153"/>
      <c r="H28" s="1153"/>
      <c r="I28" s="1153"/>
      <c r="J28" s="1153"/>
      <c r="K28" s="1153"/>
      <c r="L28" s="1153"/>
      <c r="M28" s="1153"/>
      <c r="N28" s="1153"/>
      <c r="O28" s="1153"/>
      <c r="P28" s="1153"/>
      <c r="Q28" s="363"/>
    </row>
    <row r="29" spans="1:17" s="355" customFormat="1" ht="12.75" customHeight="1">
      <c r="A29" s="498"/>
      <c r="B29" s="375"/>
      <c r="C29" s="986" t="str">
        <f>"Guidelines in the amount of"</f>
        <v>Guidelines in the amount of</v>
      </c>
      <c r="D29" s="1332"/>
      <c r="E29" s="1332"/>
      <c r="F29" s="1332"/>
      <c r="G29" s="1332"/>
      <c r="H29" s="1332"/>
      <c r="I29" s="1402" t="str">
        <f>IF(Worksheet!B81="Final Child Support Obligation Payable By Father:",TEXT(Worksheet!U80,"$ #,###.00"),IF(Worksheet!B81="Final Child Support Obligation Payable By Mother:",TEXT(Worksheet!Y80,"$#,###.00"),"$___________ ."))</f>
        <v>$___________ .</v>
      </c>
      <c r="J29" s="1403"/>
      <c r="K29" s="1403"/>
      <c r="L29" s="986" t="str">
        <f>IF(OR(NOT(ISBLANK(Worksheet!$G$92)),NOT(ISBLANK(Worksheet!$G$93)))," per month.  Application of the child support guidelines in this",IF(AND(ISNUMBER(Worksheet!$S$90),Worksheet!$G$91="x")," per month. This amount is an appropriate amount to award for"," per month."))</f>
        <v xml:space="preserve"> per month.</v>
      </c>
      <c r="M29" s="1332"/>
      <c r="N29" s="1332"/>
      <c r="O29" s="1332"/>
      <c r="P29" s="1332"/>
      <c r="Q29" s="363"/>
    </row>
    <row r="30" spans="1:17" s="355" customFormat="1" ht="12.75" customHeight="1">
      <c r="A30" s="498"/>
      <c r="B30" s="375"/>
      <c r="C30" s="1404" t="str">
        <f>IF(AND(OR(NOT(ISBLANK(Worksheet!$G$92)),NOT(ISBLANK(Worksheet!$G$93))),Worksheet!$U$44=1),"case is inappropriate or unjust.  The Court has considered the best interests of the child in determining",IF(AND(OR(NOT(ISBLANK(Worksheet!$G$92)),NOT(ISBLANK(Worksheet!$G$93))),Worksheet!$U$44&gt;1),"case is inappropriate or unjust.  The Court has considered the best interests of the children in determining",IF(AND(ISNUMBER(Worksheet!$S$90),Worksheet!$G$91="x"),"child support in this case excepting that the Court finds it more appropriate and just to make a de minimus","")))</f>
        <v/>
      </c>
      <c r="D30" s="1332"/>
      <c r="E30" s="1332"/>
      <c r="F30" s="1332"/>
      <c r="G30" s="1332"/>
      <c r="H30" s="1332"/>
      <c r="I30" s="1332"/>
      <c r="J30" s="1332"/>
      <c r="K30" s="1332"/>
      <c r="L30" s="1332"/>
      <c r="M30" s="1332"/>
      <c r="N30" s="1332"/>
      <c r="O30" s="1332"/>
      <c r="P30" s="1332"/>
      <c r="Q30" s="363"/>
    </row>
    <row r="31" spans="1:17" ht="12.75" customHeight="1">
      <c r="A31" s="498"/>
      <c r="B31" s="370"/>
      <c r="C31" s="1404" t="str">
        <f>IF(AND(OR(NOT(ISBLANK(Worksheet!$G$92)),NOT(ISBLANK(Worksheet!$G$93))),Worksheet!$U$44=1),"that a deviation is appropriate.  After deviation the child support order is ",IF(AND(OR(NOT(ISBLANK(Worksheet!$G$92)),NOT(ISBLANK(Worksheet!$G$93))),Worksheet!$U$44&gt;1),"that a deviation is appropriate.  After deviation the child support order is",IF(AND(ISNUMBER(Worksheet!$S$90),Worksheet!$G$91="x"),"adjustment to the exact Guidelines amount for ease of calculation to ","")))</f>
        <v/>
      </c>
      <c r="D31" s="1332"/>
      <c r="E31" s="1332"/>
      <c r="F31" s="1332"/>
      <c r="G31" s="1332"/>
      <c r="H31" s="1332"/>
      <c r="I31" s="1332"/>
      <c r="J31" s="1332"/>
      <c r="K31" s="1332"/>
      <c r="L31" s="1332"/>
      <c r="M31" s="1332"/>
      <c r="N31" s="376" t="str">
        <f>IF(OR(NOT(ISBLANK(Worksheet!$G$92)),NOT(ISBLANK(Worksheet!$G$93)),ISNUMBER(Worksheet!$S$90)),Worksheet!$H$96,"")</f>
        <v/>
      </c>
      <c r="O31" s="987" t="str">
        <f>IF(OR(NOT(ISBLANK(Worksheet!$G$92)),NOT(ISBLANK(Worksheet!$G$93)),AND(ISNUMBER(Worksheet!$S$90),Worksheet!$G$91="x"))," per month.","")</f>
        <v/>
      </c>
      <c r="P31" s="1332"/>
      <c r="Q31" s="363"/>
    </row>
    <row r="32" spans="1:17" ht="60.75" customHeight="1">
      <c r="A32" s="498"/>
      <c r="B32" s="370"/>
      <c r="C32" s="1407" t="str">
        <f>IF(NOT(ISBLANK(Worksheet!G92)),"Further, the parties have entered into a written or record agreement free of duress and coercion to deviate with knowledge of the amount of child support that would have been ordered under the guidelines but for the agreement.  "&amp;Worksheet!G94,IF(NOT(ISBLANK(Worksheet!G93)),Worksheet!G94,""))</f>
        <v/>
      </c>
      <c r="D32" s="1400"/>
      <c r="E32" s="1400"/>
      <c r="F32" s="1400"/>
      <c r="G32" s="1400"/>
      <c r="H32" s="1400"/>
      <c r="I32" s="1400"/>
      <c r="J32" s="1400"/>
      <c r="K32" s="1400"/>
      <c r="L32" s="1400"/>
      <c r="M32" s="1400"/>
      <c r="N32" s="1400"/>
      <c r="O32" s="1400"/>
      <c r="P32" s="1400"/>
      <c r="Q32" s="363"/>
    </row>
    <row r="33" spans="1:17" ht="12.75" customHeight="1">
      <c r="A33" s="498"/>
      <c r="B33" s="370" t="s">
        <v>116</v>
      </c>
      <c r="C33" s="1405" t="s">
        <v>312</v>
      </c>
      <c r="D33" s="1153"/>
      <c r="E33" s="916"/>
      <c r="F33" s="916"/>
      <c r="G33" s="1413" t="str">
        <f>IF(AND(NOT(ISBLANK(Worksheet!G100)),Worksheet!$B$81="Final Child Support Obligation Payable By Father:"),"Father owes child support arrearages to mother in the total sum of",IF(AND(NOT(ISBLANK(Worksheet!G100)),Worksheet!$B$81="Final Child Support Obligation Payable By Mother:"),"Mother owes child support arrearages to father in the total sum of",IF(Worksheet!G100="x","No evidence was presented in support of any support arrearage.","Arrears not addressed.")))</f>
        <v>Arrears not addressed.</v>
      </c>
      <c r="H33" s="916"/>
      <c r="I33" s="916"/>
      <c r="J33" s="916"/>
      <c r="K33" s="916"/>
      <c r="L33" s="916"/>
      <c r="M33" s="916"/>
      <c r="N33" s="916"/>
      <c r="O33" s="377" t="str">
        <f>IF(NOT(ISBLANK(Worksheet!G100)),Worksheet!Q100,"")</f>
        <v/>
      </c>
      <c r="P33" s="360" t="str">
        <f>IF(NOT(ISBLANK(Worksheet!G100))," for the ","")</f>
        <v/>
      </c>
      <c r="Q33" s="363"/>
    </row>
    <row r="34" spans="1:17" ht="12.75" customHeight="1">
      <c r="A34" s="498"/>
      <c r="B34" s="370"/>
      <c r="C34" s="1410" t="str">
        <f>IF(NOT(ISBLANK(Worksheet!G100)),"time period from","")</f>
        <v/>
      </c>
      <c r="D34" s="1332"/>
      <c r="E34" s="1332"/>
      <c r="F34" s="1332"/>
      <c r="G34" s="1408" t="str">
        <f>IF(AND(NOT(ISBLANK(Worksheet!G100)),NOT(ISBLANK(Worksheet!M101))),Worksheet!M101,"")</f>
        <v/>
      </c>
      <c r="H34" s="1409"/>
      <c r="I34" s="1409"/>
      <c r="J34" s="1409"/>
      <c r="K34" s="1409"/>
      <c r="L34" s="378" t="str">
        <f>IF(NOT(ISBLANK(Worksheet!G100)),"through","")</f>
        <v/>
      </c>
      <c r="M34" s="1411" t="str">
        <f>IF(AND(NOT(ISBLANK(Worksheet!G100)),NOT(ISBLANK(Worksheet!V101))),Worksheet!V101,"")</f>
        <v/>
      </c>
      <c r="N34" s="1412"/>
      <c r="O34" s="1479" t="str">
        <f>IF(AND(NOT(ISBLANK(Worksheet!G100)),ISNUMBER(Worksheet!M102)),"plus accrued interest on","")</f>
        <v/>
      </c>
      <c r="P34" s="1153"/>
      <c r="Q34" s="363"/>
    </row>
    <row r="35" spans="1:17" s="444" customFormat="1" ht="12.75" customHeight="1">
      <c r="A35" s="498"/>
      <c r="B35" s="370"/>
      <c r="C35" s="1491" t="str">
        <f>IF(AND(NOT(ISBLANK(Worksheet!G100)),ISNUMBER(Worksheet!M102)),"prior child support arrearages due of","")</f>
        <v/>
      </c>
      <c r="D35" s="916"/>
      <c r="E35" s="916"/>
      <c r="F35" s="916"/>
      <c r="G35" s="916"/>
      <c r="H35" s="916"/>
      <c r="I35" s="916"/>
      <c r="J35" s="916"/>
      <c r="K35" s="1414" t="str">
        <f>IF(AND(NOT(ISBLANK(Worksheet!G100)),ISNUMBER(Worksheet!M102)),Worksheet!M102,"")</f>
        <v/>
      </c>
      <c r="L35" s="1415"/>
      <c r="M35" s="1416" t="str">
        <f>IF(AND(NOT(ISBLANK(Worksheet!G100)),NOT(ISBLANK(Worksheet!M102)),ISNUMBER(Worksheet!U102)),"calculated thru the date of  ","")</f>
        <v/>
      </c>
      <c r="N35" s="1417"/>
      <c r="O35" s="1418" t="str">
        <f>IF(AND(NOT(ISBLANK(Worksheet!G100)),NOT(ISBLANK(Worksheet!M102)),ISNUMBER(Worksheet!U102)),Worksheet!U102,"")</f>
        <v/>
      </c>
      <c r="P35" s="1419"/>
      <c r="Q35" s="363"/>
    </row>
    <row r="36" spans="1:17" ht="12.75" customHeight="1">
      <c r="A36" s="498"/>
      <c r="B36" s="370"/>
      <c r="C36" s="366"/>
      <c r="D36" s="366"/>
      <c r="E36" s="366"/>
      <c r="F36" s="366"/>
      <c r="G36" s="366"/>
      <c r="H36" s="366"/>
      <c r="I36" s="366"/>
      <c r="J36" s="366"/>
      <c r="K36" s="380"/>
      <c r="L36" s="362"/>
      <c r="M36" s="362"/>
      <c r="N36" s="362"/>
      <c r="O36" s="362"/>
      <c r="P36" s="362"/>
      <c r="Q36" s="363"/>
    </row>
    <row r="37" spans="1:17" ht="12.75" customHeight="1">
      <c r="A37" s="498"/>
      <c r="B37" s="370" t="s">
        <v>117</v>
      </c>
      <c r="C37" s="1405" t="s">
        <v>219</v>
      </c>
      <c r="D37" s="1153"/>
      <c r="E37" s="1153"/>
      <c r="F37" s="1406" t="str">
        <f>IF(AND(NOT(ISBLANK(Worksheet!G106)),Worksheet!$B$81="Final Child Support Obligation Payable By Father:"),"It is appropriate to award Mother an additional judgment for past support in the amount of ",IF(AND(NOT(ISBLANK(Worksheet!G106)),Worksheet!$B$81="Final Child Support Obligation Payable By Mother:"),"It is appropriate to award Father an additional judgment for past support in the amount of","The evidence does not support a judgment for past support."))</f>
        <v>The evidence does not support a judgment for past support.</v>
      </c>
      <c r="G37" s="1153"/>
      <c r="H37" s="1153"/>
      <c r="I37" s="1153"/>
      <c r="J37" s="1153"/>
      <c r="K37" s="1153"/>
      <c r="L37" s="1153"/>
      <c r="M37" s="1153"/>
      <c r="N37" s="1153"/>
      <c r="O37" s="1153"/>
      <c r="P37" s="1153"/>
      <c r="Q37" s="363"/>
    </row>
    <row r="38" spans="1:17" ht="12.75" customHeight="1">
      <c r="A38" s="498"/>
      <c r="B38" s="370"/>
      <c r="C38" s="1485" t="str">
        <f>IF(NOT(ISBLANK(Worksheet!G106)),Worksheet!M106,"")</f>
        <v/>
      </c>
      <c r="D38" s="1486"/>
      <c r="E38" s="1486"/>
      <c r="F38" s="944" t="str">
        <f>IF(AND(NOT(ISBLANK(Worksheet!G106)),NOT(ISBLANK(Worksheet!H107)),NOT(ISBLANK(Worksheet!H108))),"as past support for the three-year period prior to filing of the current petition until today.",IF(AND(NOT(ISBLANK(Worksheet!G106)),NOT(ISBLANK(Worksheet!H107))),"for appropriate past support from the date of filing of the current petition until today.",IF(AND(NOT(ISBLANK(Worksheet!G106)),NOT(ISBLANK(Worksheet!H108))),"as past support that includes the three-year period prior to the filing of the current petition.",IF(NOT(ISBLANK(Worksheet!G106)),"for all past support including any period prior to the date of filing of the current petition.",""))))</f>
        <v/>
      </c>
      <c r="G38" s="916"/>
      <c r="H38" s="916"/>
      <c r="I38" s="916"/>
      <c r="J38" s="916"/>
      <c r="K38" s="916"/>
      <c r="L38" s="916"/>
      <c r="M38" s="916"/>
      <c r="N38" s="916"/>
      <c r="O38" s="916"/>
      <c r="P38" s="916"/>
      <c r="Q38" s="363"/>
    </row>
    <row r="39" spans="1:17" ht="12.75" customHeight="1">
      <c r="A39" s="498"/>
      <c r="B39" s="370"/>
      <c r="C39" s="366"/>
      <c r="D39" s="366"/>
      <c r="E39" s="366"/>
      <c r="F39" s="366"/>
      <c r="G39" s="366"/>
      <c r="H39" s="366"/>
      <c r="I39" s="366"/>
      <c r="J39" s="381"/>
      <c r="K39" s="382"/>
      <c r="L39" s="362"/>
      <c r="M39" s="362"/>
      <c r="N39" s="362"/>
      <c r="O39" s="362"/>
      <c r="P39" s="362"/>
      <c r="Q39" s="363"/>
    </row>
    <row r="40" spans="1:17" ht="12.75" customHeight="1">
      <c r="A40" s="498"/>
      <c r="B40" s="1449" t="s">
        <v>118</v>
      </c>
      <c r="C40" s="1332"/>
      <c r="D40" s="1332"/>
      <c r="E40" s="1332"/>
      <c r="F40" s="1332"/>
      <c r="G40" s="1332"/>
      <c r="H40" s="1332"/>
      <c r="I40" s="1332"/>
      <c r="J40" s="1332"/>
      <c r="K40" s="1332"/>
      <c r="L40" s="1332"/>
      <c r="M40" s="1332"/>
      <c r="N40" s="1332"/>
      <c r="O40" s="1332"/>
      <c r="P40" s="1332"/>
      <c r="Q40" s="363"/>
    </row>
    <row r="41" spans="1:17" ht="12.75" customHeight="1">
      <c r="A41" s="498"/>
      <c r="B41" s="370"/>
      <c r="C41" s="366"/>
      <c r="D41" s="366"/>
      <c r="E41" s="366"/>
      <c r="F41" s="366"/>
      <c r="G41" s="366"/>
      <c r="H41" s="366"/>
      <c r="I41" s="366"/>
      <c r="J41" s="366"/>
      <c r="K41" s="366"/>
      <c r="L41" s="362"/>
      <c r="M41" s="362"/>
      <c r="N41" s="362"/>
      <c r="O41" s="362"/>
      <c r="P41" s="362"/>
      <c r="Q41" s="363"/>
    </row>
    <row r="42" spans="1:17" s="356" customFormat="1" ht="12.75" customHeight="1">
      <c r="A42" s="498"/>
      <c r="B42" s="375" t="s">
        <v>111</v>
      </c>
      <c r="C42" s="1211" t="s">
        <v>278</v>
      </c>
      <c r="D42" s="1446"/>
      <c r="E42" s="1446"/>
      <c r="F42" s="1447" t="str">
        <f>IF(Worksheet!$B$81="Final Child Support Obligation Payable By Father:"," Father shall pay child support to Mother in the sum of ",IF(Worksheet!$B$81="Final Child Support Obligation Payable By Mother:"," Mother shall pay child support to Father in the sum of ","_____ shall pay Child Support to _____ in the sum of "))</f>
        <v xml:space="preserve">_____ shall pay Child Support to _____ in the sum of </v>
      </c>
      <c r="G42" s="1448"/>
      <c r="H42" s="1448"/>
      <c r="I42" s="1448"/>
      <c r="J42" s="1448"/>
      <c r="K42" s="1448"/>
      <c r="L42" s="1448"/>
      <c r="M42" s="1448"/>
      <c r="N42" s="376" t="str">
        <f>IF(OR(Worksheet!$B$81="Final Child Support Obligation Payable By Father:",Worksheet!B81="Final Child Support Obligation Payable By Mother:"),Worksheet!H96,"")</f>
        <v/>
      </c>
      <c r="O42" s="1420" t="s">
        <v>339</v>
      </c>
      <c r="P42" s="1421"/>
      <c r="Q42" s="628"/>
    </row>
    <row r="43" spans="1:17" s="355" customFormat="1" ht="12.75" customHeight="1">
      <c r="A43" s="498"/>
      <c r="B43" s="375"/>
      <c r="C43" s="986" t="s">
        <v>338</v>
      </c>
      <c r="D43" s="1153"/>
      <c r="E43" s="1153"/>
      <c r="F43" s="1153"/>
      <c r="G43" s="1153"/>
      <c r="H43" s="1153"/>
      <c r="I43" s="1153"/>
      <c r="J43" s="1153"/>
      <c r="K43" s="1153"/>
      <c r="L43" s="1477">
        <f ca="1">IF(ISNUMBER(Worksheet!N129),Worksheet!N129,"")</f>
        <v>42218</v>
      </c>
      <c r="M43" s="1477"/>
      <c r="N43" s="1478" t="s">
        <v>341</v>
      </c>
      <c r="O43" s="1479"/>
      <c r="P43" s="363"/>
      <c r="Q43" s="363"/>
    </row>
    <row r="44" spans="1:17" ht="12.75" customHeight="1">
      <c r="A44" s="498"/>
      <c r="B44" s="370"/>
      <c r="C44" s="360"/>
      <c r="D44" s="360"/>
      <c r="E44" s="360"/>
      <c r="F44" s="360"/>
      <c r="G44" s="360"/>
      <c r="H44" s="360"/>
      <c r="I44" s="360"/>
      <c r="J44" s="360"/>
      <c r="K44" s="360"/>
      <c r="L44" s="362"/>
      <c r="M44" s="362"/>
      <c r="N44" s="362"/>
      <c r="O44" s="362"/>
      <c r="P44" s="362"/>
      <c r="Q44" s="363"/>
    </row>
    <row r="45" spans="1:17" ht="12.75" customHeight="1">
      <c r="A45" s="498"/>
      <c r="B45" s="370"/>
      <c r="C45" s="360"/>
      <c r="D45" s="360"/>
      <c r="E45" s="360"/>
      <c r="F45" s="384"/>
      <c r="G45" s="384"/>
      <c r="H45" s="360"/>
      <c r="I45" s="360"/>
      <c r="J45" s="360"/>
      <c r="K45" s="360"/>
      <c r="L45" s="362"/>
      <c r="M45" s="362"/>
      <c r="N45" s="362"/>
      <c r="O45" s="362"/>
      <c r="P45" s="362"/>
      <c r="Q45" s="363"/>
    </row>
    <row r="46" spans="1:17" ht="12.75" customHeight="1">
      <c r="A46" s="510"/>
      <c r="B46" s="370"/>
      <c r="C46" s="385"/>
      <c r="D46" s="386"/>
      <c r="E46" s="387"/>
      <c r="F46" s="386"/>
      <c r="G46" s="388"/>
      <c r="H46" s="385"/>
      <c r="I46" s="363"/>
      <c r="J46" s="363"/>
      <c r="K46" s="362"/>
      <c r="L46" s="362"/>
      <c r="M46" s="363"/>
      <c r="N46" s="389" t="s">
        <v>279</v>
      </c>
      <c r="O46" s="1484" t="str">
        <f>N5</f>
        <v/>
      </c>
      <c r="P46" s="1426"/>
      <c r="Q46" s="363"/>
    </row>
    <row r="47" spans="1:17">
      <c r="A47" s="498"/>
      <c r="B47" s="370"/>
      <c r="C47" s="361"/>
      <c r="D47" s="360"/>
      <c r="E47" s="360"/>
      <c r="F47" s="384"/>
      <c r="G47" s="384"/>
      <c r="H47" s="360"/>
      <c r="I47" s="360"/>
      <c r="J47" s="360"/>
      <c r="K47" s="360"/>
      <c r="L47" s="362"/>
      <c r="M47" s="362"/>
      <c r="N47" s="362"/>
      <c r="O47" s="362"/>
      <c r="P47" s="362"/>
      <c r="Q47" s="363"/>
    </row>
    <row r="48" spans="1:17">
      <c r="A48" s="498"/>
      <c r="B48" s="370" t="s">
        <v>114</v>
      </c>
      <c r="C48" s="1405" t="s">
        <v>232</v>
      </c>
      <c r="D48" s="1152"/>
      <c r="E48" s="1152"/>
      <c r="F48" s="1152"/>
      <c r="G48" s="1152"/>
      <c r="H48" s="1406" t="str">
        <f>IF(AND(NOT(ISBLANK(Worksheet!G100)),Worksheet!$B$81="Final Child Support Obligation Payable By Father:"),"Mother is granted judgment against Father in the amount of",IF(AND(NOT(ISBLANK(Worksheet!G100)),Worksheet!$B$81="Final Child Support Obligation Payable By Mother:"),"Father is granted judgment against Mother in the amount of",IF(NOT(ISBLANK(Worksheet!G100)),"_____ is granted judgment against _____ in the amount of","No additional judgment for child support arrears is entered.")))</f>
        <v>No additional judgment for child support arrears is entered.</v>
      </c>
      <c r="I48" s="1332"/>
      <c r="J48" s="1332"/>
      <c r="K48" s="1332"/>
      <c r="L48" s="1332"/>
      <c r="M48" s="1332"/>
      <c r="N48" s="1332"/>
      <c r="O48" s="390" t="str">
        <f>IF(NOT(ISBLANK(Worksheet!G100)),Worksheet!Q100,"")</f>
        <v/>
      </c>
      <c r="P48" s="360" t="str">
        <f>IF(NOT(ISBLANK(Worksheet!G100))," as and","")</f>
        <v/>
      </c>
      <c r="Q48" s="363"/>
    </row>
    <row r="49" spans="1:17">
      <c r="A49" s="498"/>
      <c r="B49" s="370"/>
      <c r="C49" s="1442" t="str">
        <f>IF(NOT(ISBLANK(Worksheet!G100)),"for child support arrearages for the period of","")</f>
        <v/>
      </c>
      <c r="D49" s="1332"/>
      <c r="E49" s="1332"/>
      <c r="F49" s="1332"/>
      <c r="G49" s="1332"/>
      <c r="H49" s="1332"/>
      <c r="I49" s="1332"/>
      <c r="J49" s="1332"/>
      <c r="K49" s="1332"/>
      <c r="L49" s="1411" t="str">
        <f>IF(ISNUMBER(G34),G34,"")</f>
        <v/>
      </c>
      <c r="M49" s="1426"/>
      <c r="N49" s="391" t="str">
        <f>IF(NOT(ISBLANK(Worksheet!G100)),"through","")</f>
        <v/>
      </c>
      <c r="O49" s="1480" t="str">
        <f>IF(ISNUMBER(M34),M34,"")</f>
        <v/>
      </c>
      <c r="P49" s="1426"/>
      <c r="Q49" s="363"/>
    </row>
    <row r="50" spans="1:17" s="432" customFormat="1">
      <c r="A50" s="498"/>
      <c r="B50" s="370"/>
      <c r="C50" s="1442" t="str">
        <f>IF(AND(NOT(ISBLANK(Worksheet!G100)),NOT(ISBLANK(Worksheet!M102))),"together with interest on said sum at the legal rate of 10% per annum until paid in full plus additional accrued ",IF(NOT(ISBLANK(Worksheet!G100)),"together with interest at the legal rate of 10% per annum until paid in full.",""))</f>
        <v/>
      </c>
      <c r="D50" s="1153"/>
      <c r="E50" s="1153"/>
      <c r="F50" s="1153"/>
      <c r="G50" s="1153"/>
      <c r="H50" s="1153"/>
      <c r="I50" s="1153"/>
      <c r="J50" s="1153"/>
      <c r="K50" s="1153"/>
      <c r="L50" s="1153"/>
      <c r="M50" s="1153"/>
      <c r="N50" s="1153"/>
      <c r="O50" s="1153"/>
      <c r="P50" s="1153"/>
      <c r="Q50" s="363"/>
    </row>
    <row r="51" spans="1:17">
      <c r="A51" s="498"/>
      <c r="B51" s="370"/>
      <c r="C51" s="944" t="str">
        <f>IF(AND(NOT(ISBLANK(Worksheet!G100)),NOT(ISBLANK(Worksheet!M102))),"interest on prior child support judgments of  ","")</f>
        <v/>
      </c>
      <c r="D51" s="916"/>
      <c r="E51" s="916"/>
      <c r="F51" s="916"/>
      <c r="G51" s="916"/>
      <c r="H51" s="916"/>
      <c r="I51" s="916"/>
      <c r="J51" s="916"/>
      <c r="K51" s="916"/>
      <c r="L51" s="455" t="str">
        <f>IF(AND(NOT(ISBLANK(Worksheet!G100)),NOT(ISBLANK(Worksheet!M102)),ISBLANK(Worksheet!U102)),TEXT(Worksheet!M102,"$  #,##0.00."),IF(AND(NOT(ISBLANK(Worksheet!G100)),NOT(ISBLANK(Worksheet!M102))),Worksheet!M102,""))</f>
        <v/>
      </c>
      <c r="M51" s="1422" t="str">
        <f>IF(AND(NOT(ISBLANK(Worksheet!G100)),NOT(ISBLANK(Worksheet!M102)),ISNUMBER(Worksheet!U102)),"calculated thru the date of","")</f>
        <v/>
      </c>
      <c r="N51" s="896"/>
      <c r="O51" s="1474" t="str">
        <f>IF(AND(NOT(ISBLANK(Worksheet!G100)),NOT(ISBLANK(Worksheet!M102)),ISNUMBER(Worksheet!U102)),Worksheet!U102,"")</f>
        <v/>
      </c>
      <c r="P51" s="1475"/>
      <c r="Q51" s="363"/>
    </row>
    <row r="52" spans="1:17" s="432" customFormat="1">
      <c r="A52" s="498"/>
      <c r="B52" s="370"/>
      <c r="C52" s="947" t="str">
        <f>IF(AND(NOT(ISBLANK(Worksheet!G100)),Worksheet!$B$81="Final Child Support Obligation Payable By Father:"),"Father shall pay, in addition to his current support payment, the sum of",IF(AND(NOT(ISBLANK(Worksheet!G100)),Worksheet!$B$81="Final Child Support Obligation Payable By Mother:"),"Mother shall pay, in addition to her current support payment, the sum of",IF(NOT(ISBLANK(Worksheet!G100)),"_____ shall pay, in addition to current support payments, the sum of","")))</f>
        <v/>
      </c>
      <c r="D52" s="994"/>
      <c r="E52" s="994"/>
      <c r="F52" s="994"/>
      <c r="G52" s="994"/>
      <c r="H52" s="994"/>
      <c r="I52" s="994"/>
      <c r="J52" s="994"/>
      <c r="K52" s="994"/>
      <c r="L52" s="994"/>
      <c r="M52" s="994"/>
      <c r="N52" s="392" t="str">
        <f>IF(AND(NOT(ISBLANK(Worksheet!G100)),NOT(ISBLANK(Worksheet!R119))),Worksheet!R119,"")</f>
        <v/>
      </c>
      <c r="O52" s="947" t="str">
        <f>IF(NOT(ISBLANK(Worksheet!G100)),"per month towards this","")</f>
        <v/>
      </c>
      <c r="P52" s="994"/>
      <c r="Q52" s="363"/>
    </row>
    <row r="53" spans="1:17" ht="12.75" customHeight="1">
      <c r="A53" s="498"/>
      <c r="B53" s="370"/>
      <c r="C53" s="944" t="str">
        <f>IF(NOT(ISBLANK(Worksheet!G100)),"judgment on the first (1st) day of each month beginning","")</f>
        <v/>
      </c>
      <c r="D53" s="945"/>
      <c r="E53" s="945"/>
      <c r="F53" s="945"/>
      <c r="G53" s="945"/>
      <c r="H53" s="945"/>
      <c r="I53" s="945"/>
      <c r="J53" s="945"/>
      <c r="K53" s="945"/>
      <c r="L53" s="916"/>
      <c r="M53" s="1481" t="str">
        <f ca="1">IF(AND(NOT(ISBLANK(Worksheet!G100)),NOT(ISBLANK(Worksheet!N129))),Worksheet!N129,"")</f>
        <v/>
      </c>
      <c r="N53" s="1482"/>
      <c r="O53" s="1442" t="str">
        <f>IF(NOT(ISBLANK(Worksheet!G100)),"until paid in full.","")</f>
        <v/>
      </c>
      <c r="P53" s="1153"/>
      <c r="Q53" s="363"/>
    </row>
    <row r="54" spans="1:17" s="432" customFormat="1" ht="10.5" customHeight="1">
      <c r="A54" s="498"/>
      <c r="B54" s="370"/>
      <c r="C54" s="431"/>
      <c r="D54" s="430"/>
      <c r="E54" s="430"/>
      <c r="F54" s="430"/>
      <c r="G54" s="430"/>
      <c r="H54" s="430"/>
      <c r="I54" s="430"/>
      <c r="J54" s="430"/>
      <c r="K54" s="430"/>
      <c r="L54" s="451"/>
      <c r="M54" s="452"/>
      <c r="N54" s="431"/>
      <c r="O54" s="430"/>
      <c r="P54" s="430"/>
      <c r="Q54" s="363"/>
    </row>
    <row r="55" spans="1:17">
      <c r="A55" s="498"/>
      <c r="B55" s="370" t="s">
        <v>115</v>
      </c>
      <c r="C55" s="1483" t="s">
        <v>311</v>
      </c>
      <c r="D55" s="916"/>
      <c r="E55" s="916"/>
      <c r="F55" s="916"/>
      <c r="G55" s="916"/>
      <c r="H55" s="916"/>
      <c r="I55" s="1476" t="str">
        <f>IF(AND(NOT(ISBLANK(Worksheet!G106)),Worksheet!$B$81="Final Child Support Obligation Payable By Father:"),"Mother is also granted judgment against Father in the additional amount of",IF(AND(NOT(ISBLANK(Worksheet!G106)),Worksheet!$B$81="Final Child Support Obligation Payable By Mother:"),"Father is also granted judgment against Mother in the additional amount of",IF(NOT(ISBLANK(Worksheet!G106)),"_____ is also granted judgment against _____ in the additional amount of","No judgment for past support is entered.")))</f>
        <v>No judgment for past support is entered.</v>
      </c>
      <c r="J55" s="916"/>
      <c r="K55" s="916"/>
      <c r="L55" s="916"/>
      <c r="M55" s="916"/>
      <c r="N55" s="916"/>
      <c r="O55" s="916"/>
      <c r="P55" s="916"/>
      <c r="Q55" s="363"/>
    </row>
    <row r="56" spans="1:17">
      <c r="A56" s="498"/>
      <c r="B56" s="370"/>
      <c r="C56" s="1503" t="str">
        <f>IF(NOT(ISBLANK(Worksheet!G106)),Worksheet!M106,"")</f>
        <v/>
      </c>
      <c r="D56" s="1100"/>
      <c r="E56" s="1100"/>
      <c r="F56" s="944" t="str">
        <f>IF(AND(NOT(ISBLANK(Worksheet!G106)),Worksheet!$B$81="Final Child Support Obligation Payable By Father:"),".  Father shall pay the additional sum of ",IF(AND(NOT(ISBLANK(Worksheet!G106)),Worksheet!$B$81="Final Child Support Obligation Payable By Mother:"),".  Mother shall pay the additional sum of ",IF(NOT(ISBLANK(Worksheet!G106)),"_____ shall pay the additional sum of ",".")))</f>
        <v>.</v>
      </c>
      <c r="G56" s="916"/>
      <c r="H56" s="916"/>
      <c r="I56" s="916"/>
      <c r="J56" s="916"/>
      <c r="K56" s="916"/>
      <c r="L56" s="916"/>
      <c r="M56" s="709" t="str">
        <f>IF(AND(NOT(ISBLANK(Worksheet!G106)),NOT(ISBLANK(Worksheet!R120))),Worksheet!R120,"")</f>
        <v/>
      </c>
      <c r="N56" s="947" t="str">
        <f>IF(NOT(ISBLANK(Worksheet!G106)),"per month towards this judgment,","")</f>
        <v/>
      </c>
      <c r="O56" s="916"/>
      <c r="P56" s="916"/>
      <c r="Q56" s="363"/>
    </row>
    <row r="57" spans="1:17" ht="12.75" customHeight="1">
      <c r="A57" s="498"/>
      <c r="B57" s="370"/>
      <c r="C57" s="947" t="str">
        <f>IF(NOT(ISBLANK(Worksheet!G106)),"payable on the first (1st) day of each month commencing","")</f>
        <v/>
      </c>
      <c r="D57" s="916"/>
      <c r="E57" s="916"/>
      <c r="F57" s="916"/>
      <c r="G57" s="916"/>
      <c r="H57" s="916"/>
      <c r="I57" s="916"/>
      <c r="J57" s="916"/>
      <c r="K57" s="916"/>
      <c r="L57" s="916"/>
      <c r="M57" s="1455" t="str">
        <f ca="1">IF(AND(NOT(ISBLANK(Worksheet!G106)),NOT(ISBLANK(Worksheet!N129))),Worksheet!N129,"")</f>
        <v/>
      </c>
      <c r="N57" s="1046"/>
      <c r="O57" s="944" t="str">
        <f>IF(NOT(ISBLANK(Worksheet!G106)),"until paid in full.","")</f>
        <v/>
      </c>
      <c r="P57" s="916"/>
      <c r="Q57" s="701"/>
    </row>
    <row r="58" spans="1:17" s="476" customFormat="1">
      <c r="A58" s="498"/>
      <c r="B58" s="370"/>
      <c r="C58" s="947"/>
      <c r="D58" s="916"/>
      <c r="E58" s="916"/>
      <c r="F58" s="916"/>
      <c r="G58" s="916"/>
      <c r="H58" s="916"/>
      <c r="I58" s="916"/>
      <c r="J58" s="916"/>
      <c r="K58" s="916"/>
      <c r="L58" s="916"/>
      <c r="M58" s="916"/>
      <c r="N58" s="916"/>
      <c r="O58" s="916"/>
      <c r="P58" s="916"/>
      <c r="Q58" s="363"/>
    </row>
    <row r="59" spans="1:17" s="476" customFormat="1">
      <c r="A59" s="498"/>
      <c r="B59" s="435" t="s">
        <v>116</v>
      </c>
      <c r="C59" s="619" t="s">
        <v>409</v>
      </c>
      <c r="D59" s="618"/>
      <c r="E59" s="618"/>
      <c r="F59" s="618"/>
      <c r="G59" s="614"/>
      <c r="I59" s="1500" t="str">
        <f>IF(Worksheet!$B$81="Final Child Support Obligation Payable By Father:","Father shall make total monthly payments to Mother of",IF(Worksheet!$B$81="Final Child Support Obligation Payable By Mother:","Mother shall make total monthly payments to Father of","___________ shall make total monthly payments of"))</f>
        <v>___________ shall make total monthly payments of</v>
      </c>
      <c r="J59" s="916"/>
      <c r="K59" s="916"/>
      <c r="L59" s="916"/>
      <c r="M59" s="916"/>
      <c r="N59" s="916"/>
      <c r="O59" s="470" t="str">
        <f>IF(ISNUMBER(N67),N67,"")</f>
        <v/>
      </c>
      <c r="P59" s="617" t="s">
        <v>411</v>
      </c>
      <c r="Q59" s="363"/>
    </row>
    <row r="60" spans="1:17" s="476" customFormat="1">
      <c r="A60" s="498"/>
      <c r="B60" s="469"/>
      <c r="C60" s="1506" t="s">
        <v>410</v>
      </c>
      <c r="D60" s="916"/>
      <c r="E60" s="916"/>
      <c r="F60" s="916"/>
      <c r="G60" s="916"/>
      <c r="H60" s="916"/>
      <c r="I60" s="916"/>
      <c r="J60" s="916"/>
      <c r="K60" s="916"/>
      <c r="L60" s="916"/>
      <c r="M60" s="1504">
        <f ca="1">IF(ISNUMBER(Worksheet!N129),Worksheet!N129,"")</f>
        <v>42218</v>
      </c>
      <c r="N60" s="1505"/>
      <c r="O60" s="618" t="s">
        <v>235</v>
      </c>
      <c r="P60" s="616"/>
      <c r="Q60" s="363"/>
    </row>
    <row r="61" spans="1:17" s="476" customFormat="1">
      <c r="A61" s="498"/>
      <c r="B61" s="469"/>
      <c r="C61" s="469"/>
      <c r="D61" s="466"/>
      <c r="E61" s="466"/>
      <c r="F61" s="466"/>
      <c r="G61" s="466"/>
      <c r="H61" s="466"/>
      <c r="I61" s="466"/>
      <c r="J61" s="466"/>
      <c r="K61" s="524"/>
      <c r="L61" s="524"/>
      <c r="M61" s="524"/>
      <c r="N61" s="466"/>
      <c r="O61" s="466"/>
      <c r="P61" s="466"/>
      <c r="Q61" s="363"/>
    </row>
    <row r="62" spans="1:17" s="476" customFormat="1">
      <c r="A62" s="498"/>
      <c r="B62" s="469"/>
      <c r="C62" s="469"/>
      <c r="D62" s="1492" t="s">
        <v>236</v>
      </c>
      <c r="E62" s="1448"/>
      <c r="F62" s="1448"/>
      <c r="G62" s="1448"/>
      <c r="H62" s="1448"/>
      <c r="I62" s="1448"/>
      <c r="J62" s="1448"/>
      <c r="K62" s="1448"/>
      <c r="L62" s="1448"/>
      <c r="M62" s="1448"/>
      <c r="N62" s="472" t="str">
        <f>IF(ISNUMBER(Worksheet!R118),Worksheet!R118,"0.00")</f>
        <v>0.00</v>
      </c>
      <c r="O62" s="490"/>
      <c r="P62" s="490"/>
      <c r="Q62" s="363"/>
    </row>
    <row r="63" spans="1:17" s="476" customFormat="1">
      <c r="A63" s="498"/>
      <c r="B63" s="469"/>
      <c r="C63" s="469"/>
      <c r="D63" s="1492" t="s">
        <v>421</v>
      </c>
      <c r="E63" s="1448"/>
      <c r="F63" s="1448"/>
      <c r="G63" s="1448"/>
      <c r="H63" s="1448"/>
      <c r="I63" s="1448"/>
      <c r="J63" s="1448"/>
      <c r="K63" s="1448"/>
      <c r="L63" s="1448"/>
      <c r="M63" s="1448"/>
      <c r="N63" s="471" t="str">
        <f>IF(OR(ISNUMBER(Worksheet!R119),ISNUMBER(Worksheet!R120)),Worksheet!R119+Worksheet!R120,"")</f>
        <v/>
      </c>
      <c r="O63" s="490"/>
      <c r="P63" s="490"/>
      <c r="Q63" s="363"/>
    </row>
    <row r="64" spans="1:17" s="476" customFormat="1">
      <c r="A64" s="498"/>
      <c r="B64" s="469"/>
      <c r="C64" s="469"/>
      <c r="D64" s="1492" t="s">
        <v>324</v>
      </c>
      <c r="E64" s="916"/>
      <c r="F64" s="916"/>
      <c r="G64" s="916"/>
      <c r="H64" s="916"/>
      <c r="I64" s="916"/>
      <c r="J64" s="916"/>
      <c r="K64" s="916"/>
      <c r="L64" s="916"/>
      <c r="M64" s="916"/>
      <c r="N64" s="471" t="str">
        <f>IF(ISNUMBER(Worksheet!R122),Worksheet!R122,"")</f>
        <v/>
      </c>
      <c r="O64" s="491"/>
      <c r="P64" s="491"/>
      <c r="Q64" s="363"/>
    </row>
    <row r="65" spans="1:17" s="476" customFormat="1">
      <c r="A65" s="498"/>
      <c r="B65" s="469"/>
      <c r="C65" s="469"/>
      <c r="D65" s="1492" t="s">
        <v>323</v>
      </c>
      <c r="E65" s="1448"/>
      <c r="F65" s="1448"/>
      <c r="G65" s="1448"/>
      <c r="H65" s="1448"/>
      <c r="I65" s="1448"/>
      <c r="J65" s="1448"/>
      <c r="K65" s="1448"/>
      <c r="L65" s="1448"/>
      <c r="M65" s="1448"/>
      <c r="N65" s="471" t="str">
        <f>IF(ISNUMBER(Worksheet!R123),Worksheet!R123,"")</f>
        <v/>
      </c>
      <c r="O65" s="491"/>
      <c r="P65" s="491"/>
      <c r="Q65" s="363"/>
    </row>
    <row r="66" spans="1:17" s="476" customFormat="1">
      <c r="A66" s="498"/>
      <c r="B66" s="469"/>
      <c r="C66" s="469"/>
      <c r="D66" s="1492" t="s">
        <v>240</v>
      </c>
      <c r="E66" s="1448"/>
      <c r="F66" s="1448"/>
      <c r="G66" s="1448"/>
      <c r="H66" s="1448"/>
      <c r="I66" s="1448"/>
      <c r="J66" s="1448"/>
      <c r="K66" s="1448"/>
      <c r="L66" s="1448"/>
      <c r="M66" s="1448"/>
      <c r="N66" s="471">
        <f>IF(ISNUMBER(Worksheet!R125),Worksheet!R125,"0.00")</f>
        <v>5</v>
      </c>
      <c r="O66" s="491"/>
      <c r="P66" s="491"/>
      <c r="Q66" s="363"/>
    </row>
    <row r="67" spans="1:17" s="476" customFormat="1" ht="13.5" thickBot="1">
      <c r="A67" s="498"/>
      <c r="B67" s="469"/>
      <c r="C67" s="469"/>
      <c r="D67" s="467"/>
      <c r="E67" s="1492" t="s">
        <v>237</v>
      </c>
      <c r="F67" s="1448"/>
      <c r="G67" s="1448"/>
      <c r="H67" s="1448"/>
      <c r="I67" s="1448"/>
      <c r="J67" s="1448"/>
      <c r="K67" s="1448"/>
      <c r="L67" s="1448"/>
      <c r="M67" s="1448"/>
      <c r="N67" s="474" t="str">
        <f>IF(SUM(N62:N66)=N66,"",SUM(N62:N66))</f>
        <v/>
      </c>
      <c r="O67" s="488"/>
      <c r="P67" s="488"/>
      <c r="Q67" s="363"/>
    </row>
    <row r="68" spans="1:17" s="476" customFormat="1" ht="13.5" thickTop="1">
      <c r="A68" s="498"/>
      <c r="B68" s="469"/>
      <c r="C68" s="469"/>
      <c r="D68" s="466"/>
      <c r="E68" s="466"/>
      <c r="F68" s="466"/>
      <c r="G68" s="466"/>
      <c r="H68" s="466"/>
      <c r="I68" s="466"/>
      <c r="J68" s="466"/>
      <c r="K68" s="466"/>
      <c r="L68" s="466"/>
      <c r="M68" s="466"/>
      <c r="N68" s="466"/>
      <c r="O68" s="475"/>
      <c r="P68" s="475"/>
      <c r="Q68" s="363"/>
    </row>
    <row r="69" spans="1:17" ht="12.75" customHeight="1">
      <c r="A69" s="498"/>
      <c r="B69" s="479" t="s">
        <v>117</v>
      </c>
      <c r="C69" s="1452" t="s">
        <v>356</v>
      </c>
      <c r="D69" s="916"/>
      <c r="E69" s="916"/>
      <c r="F69" s="916"/>
      <c r="G69" s="916"/>
      <c r="H69" s="916"/>
      <c r="I69" s="916"/>
      <c r="J69" s="916"/>
      <c r="K69" s="916"/>
      <c r="L69" s="916"/>
      <c r="M69" s="916"/>
      <c r="N69" s="916"/>
      <c r="O69" s="916"/>
      <c r="P69" s="916"/>
      <c r="Q69" s="363"/>
    </row>
    <row r="70" spans="1:17" s="476" customFormat="1" ht="12.75" customHeight="1">
      <c r="A70" s="498"/>
      <c r="B70" s="478"/>
      <c r="C70" s="1452" t="str">
        <f>IF(Worksheet!$B$81="Final Child Support Obligation Payable By Father:","Order of Assignment signed this date.  Any time the full amount of support ordered is not withheld, Father",IF(Worksheet!$B$81="Final Child Support Obligation Payable By Mother:","Order of Assignment signed this date.  Any time the full amount of support ordered is not withheld, Mother","Order of Assignment signed this date.  Any time the full amount of support ordered is not withheld, the obligor "))</f>
        <v xml:space="preserve">Order of Assignment signed this date.  Any time the full amount of support ordered is not withheld, the obligor </v>
      </c>
      <c r="D70" s="916"/>
      <c r="E70" s="916"/>
      <c r="F70" s="916"/>
      <c r="G70" s="916"/>
      <c r="H70" s="916"/>
      <c r="I70" s="916"/>
      <c r="J70" s="916"/>
      <c r="K70" s="916"/>
      <c r="L70" s="916"/>
      <c r="M70" s="916"/>
      <c r="N70" s="916"/>
      <c r="O70" s="916"/>
      <c r="P70" s="916"/>
      <c r="Q70" s="363"/>
    </row>
    <row r="71" spans="1:17" s="457" customFormat="1" ht="42.75" customHeight="1">
      <c r="A71" s="498"/>
      <c r="B71" s="375"/>
      <c r="C71" s="1465" t="s">
        <v>330</v>
      </c>
      <c r="D71" s="1153"/>
      <c r="E71" s="1153"/>
      <c r="F71" s="1153"/>
      <c r="G71" s="1153"/>
      <c r="H71" s="1153"/>
      <c r="I71" s="1153"/>
      <c r="J71" s="1153"/>
      <c r="K71" s="1153"/>
      <c r="L71" s="1153"/>
      <c r="M71" s="1153"/>
      <c r="N71" s="1153"/>
      <c r="O71" s="1153"/>
      <c r="P71" s="1153"/>
      <c r="Q71" s="363"/>
    </row>
    <row r="72" spans="1:17">
      <c r="A72" s="498"/>
      <c r="B72" s="370"/>
      <c r="C72" s="1442"/>
      <c r="D72" s="1332"/>
      <c r="E72" s="1332"/>
      <c r="F72" s="1332"/>
      <c r="G72" s="1332"/>
      <c r="H72" s="1332"/>
      <c r="I72" s="1405" t="s">
        <v>103</v>
      </c>
      <c r="J72" s="1332"/>
      <c r="K72" s="1332"/>
      <c r="L72" s="1332"/>
      <c r="M72" s="1332"/>
      <c r="N72" s="1332"/>
      <c r="O72" s="1332"/>
      <c r="P72" s="1332"/>
      <c r="Q72" s="363"/>
    </row>
    <row r="73" spans="1:17">
      <c r="A73" s="498"/>
      <c r="B73" s="370"/>
      <c r="C73" s="1442"/>
      <c r="D73" s="1332"/>
      <c r="E73" s="1332"/>
      <c r="F73" s="1332"/>
      <c r="G73" s="1332"/>
      <c r="H73" s="1332"/>
      <c r="I73" s="1405" t="s">
        <v>104</v>
      </c>
      <c r="J73" s="1332"/>
      <c r="K73" s="1332"/>
      <c r="L73" s="1332"/>
      <c r="M73" s="1332"/>
      <c r="N73" s="1332"/>
      <c r="O73" s="1332"/>
      <c r="P73" s="1332"/>
      <c r="Q73" s="363"/>
    </row>
    <row r="74" spans="1:17">
      <c r="A74" s="498"/>
      <c r="B74" s="370"/>
      <c r="C74" s="1442"/>
      <c r="D74" s="1332"/>
      <c r="E74" s="1332"/>
      <c r="F74" s="1332"/>
      <c r="G74" s="1332"/>
      <c r="H74" s="1332"/>
      <c r="I74" s="1405" t="s">
        <v>105</v>
      </c>
      <c r="J74" s="1332"/>
      <c r="K74" s="1332"/>
      <c r="L74" s="1332"/>
      <c r="M74" s="1332"/>
      <c r="N74" s="1332"/>
      <c r="O74" s="1332"/>
      <c r="P74" s="1332"/>
      <c r="Q74" s="363"/>
    </row>
    <row r="75" spans="1:17" ht="12" customHeight="1">
      <c r="A75" s="498"/>
      <c r="B75" s="370"/>
      <c r="C75" s="1442"/>
      <c r="D75" s="1332"/>
      <c r="E75" s="1332"/>
      <c r="F75" s="1332"/>
      <c r="G75" s="1332"/>
      <c r="H75" s="1332"/>
      <c r="I75" s="1332"/>
      <c r="J75" s="1332"/>
      <c r="K75" s="1332"/>
      <c r="L75" s="1332"/>
      <c r="M75" s="1332"/>
      <c r="N75" s="1332"/>
      <c r="O75" s="1332"/>
      <c r="P75" s="1332"/>
      <c r="Q75" s="363"/>
    </row>
    <row r="76" spans="1:17">
      <c r="A76" s="498"/>
      <c r="B76" s="370"/>
      <c r="C76" s="1405" t="str">
        <f>IF(Worksheet!$B$81="Final Child Support Obligation Payable By Father:","Payments must include the Father's name, ATLAS number, and Social Security Number.",IF(Worksheet!$B$81="Final Child Support Obligation Payable By Mother:","Payments must include the Mother's name, ATLAS number, and Social Security Number.","Payments must include the obligor's name, ATLAS number, and Social Security Number."))</f>
        <v>Payments must include the obligor's name, ATLAS number, and Social Security Number.</v>
      </c>
      <c r="D76" s="1424"/>
      <c r="E76" s="1424"/>
      <c r="F76" s="1424"/>
      <c r="G76" s="1424"/>
      <c r="H76" s="1424"/>
      <c r="I76" s="1424"/>
      <c r="J76" s="1424"/>
      <c r="K76" s="1424"/>
      <c r="L76" s="1424"/>
      <c r="M76" s="1424"/>
      <c r="N76" s="1424"/>
      <c r="O76" s="1424"/>
      <c r="P76" s="1424"/>
      <c r="Q76" s="363"/>
    </row>
    <row r="77" spans="1:17">
      <c r="A77" s="498"/>
      <c r="B77" s="1453"/>
      <c r="C77" s="1332"/>
      <c r="D77" s="1332"/>
      <c r="E77" s="1332"/>
      <c r="F77" s="1332"/>
      <c r="G77" s="1332"/>
      <c r="H77" s="1332"/>
      <c r="I77" s="1332"/>
      <c r="J77" s="1332"/>
      <c r="K77" s="1332"/>
      <c r="L77" s="1332"/>
      <c r="M77" s="1332"/>
      <c r="N77" s="1332"/>
      <c r="O77" s="1332"/>
      <c r="P77" s="1332"/>
      <c r="Q77" s="363"/>
    </row>
    <row r="78" spans="1:17" s="457" customFormat="1" ht="12.75" customHeight="1">
      <c r="A78" s="498"/>
      <c r="B78" s="479" t="s">
        <v>119</v>
      </c>
      <c r="C78" s="1452" t="s">
        <v>357</v>
      </c>
      <c r="D78" s="1448"/>
      <c r="E78" s="1448"/>
      <c r="F78" s="1448"/>
      <c r="G78" s="1448"/>
      <c r="H78" s="1448"/>
      <c r="I78" s="1448"/>
      <c r="J78" s="1448"/>
      <c r="K78" s="1448"/>
      <c r="L78" s="1448"/>
      <c r="M78" s="1448"/>
      <c r="N78" s="1448"/>
      <c r="O78" s="1448"/>
      <c r="P78" s="1448"/>
      <c r="Q78" s="363"/>
    </row>
    <row r="79" spans="1:17" s="100" customFormat="1" ht="26.25" customHeight="1">
      <c r="A79" s="498"/>
      <c r="B79" s="425"/>
      <c r="C79" s="1465" t="str">
        <f>IF(Worksheet!$B$81="Final Child Support Obligation Payable By Father:","writing to the Clerk of the Superior Court and the Support Payment Clearinghouse immediately.  Father shall submit the names and addresses of Father's employers or other payors within 10 days.  The parties shall",IF(Worksheet!$B$81="Final Child Support Obligation Payable By Mother:","writing to the Clerk of the Superior Court and the Support Payment Clearinghouse immediately.  Mother shall submit the names and addresses of Mother's employers or other payors within 10 days.  The parties shall","writing to the Clerk of the Superior Court and the Support Payment Clearinghouse immediately.  The obligor shall submit the names and addresses of the obligor's employers or other payors within 10 days.  The parties shall"))</f>
        <v>writing to the Clerk of the Superior Court and the Support Payment Clearinghouse immediately.  The obligor shall submit the names and addresses of the obligor's employers or other payors within 10 days.  The parties shall</v>
      </c>
      <c r="D79" s="1446"/>
      <c r="E79" s="1446"/>
      <c r="F79" s="1446"/>
      <c r="G79" s="1446"/>
      <c r="H79" s="1446"/>
      <c r="I79" s="1446"/>
      <c r="J79" s="1446"/>
      <c r="K79" s="1446"/>
      <c r="L79" s="1446"/>
      <c r="M79" s="1446"/>
      <c r="N79" s="1446"/>
      <c r="O79" s="1446"/>
      <c r="P79" s="1446"/>
      <c r="Q79" s="628"/>
    </row>
    <row r="80" spans="1:17" s="463" customFormat="1" ht="12.75" customHeight="1">
      <c r="A80" s="498"/>
      <c r="B80" s="425"/>
      <c r="C80" s="1452" t="s">
        <v>331</v>
      </c>
      <c r="D80" s="1448"/>
      <c r="E80" s="1448"/>
      <c r="F80" s="1448"/>
      <c r="G80" s="1448"/>
      <c r="H80" s="1448"/>
      <c r="I80" s="1448"/>
      <c r="J80" s="1448"/>
      <c r="K80" s="1448"/>
      <c r="L80" s="1448"/>
      <c r="M80" s="1448"/>
      <c r="N80" s="1448"/>
      <c r="O80" s="1448"/>
      <c r="P80" s="1448"/>
      <c r="Q80" s="628"/>
    </row>
    <row r="81" spans="1:17" s="100" customFormat="1">
      <c r="A81" s="498"/>
      <c r="B81" s="375"/>
      <c r="C81" s="1454"/>
      <c r="D81" s="987"/>
      <c r="E81" s="987"/>
      <c r="F81" s="987"/>
      <c r="G81" s="987"/>
      <c r="H81" s="987"/>
      <c r="I81" s="987"/>
      <c r="J81" s="987"/>
      <c r="K81" s="987"/>
      <c r="L81" s="987"/>
      <c r="M81" s="987"/>
      <c r="N81" s="987"/>
      <c r="O81" s="987"/>
      <c r="P81" s="987"/>
      <c r="Q81" s="628"/>
    </row>
    <row r="82" spans="1:17" s="100" customFormat="1" ht="12.75" customHeight="1">
      <c r="A82" s="498"/>
      <c r="B82" s="479" t="s">
        <v>120</v>
      </c>
      <c r="C82" s="1471" t="s">
        <v>313</v>
      </c>
      <c r="D82" s="1448"/>
      <c r="E82" s="1448"/>
      <c r="F82" s="1448"/>
      <c r="G82" s="1448"/>
      <c r="H82" s="1461" t="str">
        <f>IF(AND(NOT(ISBLANK(Worksheet!$U$62)),NOT(ISBLANK(Worksheet!Y62))),"Both Father and Mother are responsible for providing medical insurance for the minor",IF(OR(NOT(ISBLANK(Worksheet!$U$62)),Worksheet!$H$134="x"),"Father shall be individually responsible for providing medical insurance for the minor",IF(OR(NOT(ISBLANK(Worksheet!$Y$62)),NOT(ISBLANK(Worksheet!$H$135))),"Mother shall be individually responsible for providing medical insurance for the minor","Both Father and Mother are responsible to provide medical insurance for the minor")))</f>
        <v>Both Father and Mother are responsible to provide medical insurance for the minor</v>
      </c>
      <c r="I82" s="1448"/>
      <c r="J82" s="1448"/>
      <c r="K82" s="1448"/>
      <c r="L82" s="1448"/>
      <c r="M82" s="1448"/>
      <c r="N82" s="1448"/>
      <c r="O82" s="1448"/>
      <c r="P82" s="1448"/>
      <c r="Q82" s="628"/>
    </row>
    <row r="83" spans="1:17" s="426" customFormat="1" ht="24.75" customHeight="1">
      <c r="A83" s="498"/>
      <c r="B83" s="375"/>
      <c r="C83" s="1454" t="str">
        <f>IF(AND(Worksheet!$U$44=1,OR(NOT(ISBLANK(Worksheet!$U$62)),NOT(ISBLANK(Worksheet!$Y$62)))),"child, and shall continue to pay premiums for any medical, dental and vision policies covering the child that are currently in existence.",IF(AND(Worksheet!$U$44&gt;1,OR(NOT(ISBLANK(Worksheet!$U$62)),NOT(ISBLANK(Worksheet!$Y$62)))),"children, and shall continue to pay premiums for any medical, dental and vision policies covering the children that are currently in existence.",IF(OR(NOT(ISBLANK(Worksheet!$G$133)),Worksheet!$H$134="x",Worksheet!$H$135="x"),"child(ren) of the parties as soon as it becomes accessible and available at a reasonable cost, as neither parent currently has the ability to obtain such medical insurance.","any minor child of the parties as soon as it becomes accessible and available at a reasonable cost.")))</f>
        <v>child(ren) of the parties as soon as it becomes accessible and available at a reasonable cost, as neither parent currently has the ability to obtain such medical insurance.</v>
      </c>
      <c r="D83" s="1446"/>
      <c r="E83" s="1446"/>
      <c r="F83" s="1446"/>
      <c r="G83" s="1446"/>
      <c r="H83" s="1446"/>
      <c r="I83" s="1446"/>
      <c r="J83" s="1446"/>
      <c r="K83" s="1446"/>
      <c r="L83" s="1446"/>
      <c r="M83" s="1446"/>
      <c r="N83" s="1446"/>
      <c r="O83" s="1446"/>
      <c r="P83" s="1446"/>
      <c r="Q83" s="628"/>
    </row>
    <row r="84" spans="1:17" s="100" customFormat="1" ht="7.5" customHeight="1">
      <c r="A84" s="498"/>
      <c r="B84" s="478"/>
      <c r="C84" s="1454"/>
      <c r="D84" s="987"/>
      <c r="E84" s="987"/>
      <c r="F84" s="987"/>
      <c r="G84" s="987"/>
      <c r="H84" s="987"/>
      <c r="I84" s="987"/>
      <c r="J84" s="987"/>
      <c r="K84" s="987"/>
      <c r="L84" s="987"/>
      <c r="M84" s="987"/>
      <c r="N84" s="987"/>
      <c r="O84" s="987"/>
      <c r="P84" s="987"/>
      <c r="Q84" s="628"/>
    </row>
    <row r="85" spans="1:17" s="100" customFormat="1">
      <c r="A85" s="498"/>
      <c r="B85" s="479" t="s">
        <v>121</v>
      </c>
      <c r="C85" s="1452" t="s">
        <v>358</v>
      </c>
      <c r="D85" s="1448"/>
      <c r="E85" s="1448"/>
      <c r="F85" s="1448"/>
      <c r="G85" s="1448"/>
      <c r="H85" s="1448"/>
      <c r="I85" s="1448"/>
      <c r="J85" s="1448"/>
      <c r="K85" s="1448"/>
      <c r="L85" s="1448"/>
      <c r="M85" s="1448"/>
      <c r="N85" s="1448"/>
      <c r="O85" s="1448"/>
      <c r="P85" s="1448"/>
      <c r="Q85" s="628"/>
    </row>
    <row r="86" spans="1:17" s="100" customFormat="1" ht="12.75" customHeight="1">
      <c r="A86" s="498"/>
      <c r="B86" s="375"/>
      <c r="C86" s="1465" t="s">
        <v>332</v>
      </c>
      <c r="D86" s="987"/>
      <c r="E86" s="987"/>
      <c r="F86" s="987"/>
      <c r="G86" s="987"/>
      <c r="H86" s="987"/>
      <c r="I86" s="987"/>
      <c r="J86" s="987"/>
      <c r="K86" s="987"/>
      <c r="L86" s="987"/>
      <c r="M86" s="987"/>
      <c r="N86" s="987"/>
      <c r="O86" s="987"/>
      <c r="P86" s="987"/>
      <c r="Q86" s="628"/>
    </row>
    <row r="87" spans="1:17" s="100" customFormat="1">
      <c r="A87" s="498"/>
      <c r="B87" s="375"/>
      <c r="C87" s="1490" t="s">
        <v>30</v>
      </c>
      <c r="D87" s="987"/>
      <c r="E87" s="987"/>
      <c r="F87" s="987"/>
      <c r="G87" s="987"/>
      <c r="H87" s="987"/>
      <c r="I87" s="1488" t="str">
        <f>IF(ISNUMBER(Worksheet!I137),ROUND(Worksheet!I137,2),"")</f>
        <v/>
      </c>
      <c r="J87" s="1489"/>
      <c r="K87" s="1489"/>
      <c r="L87" s="383"/>
      <c r="M87" s="393" t="s">
        <v>31</v>
      </c>
      <c r="N87" s="394" t="str">
        <f>IF(ISNUMBER(Worksheet!N137),ROUND(Worksheet!N137,2),"")</f>
        <v/>
      </c>
      <c r="O87" s="395"/>
      <c r="P87" s="395"/>
      <c r="Q87" s="628"/>
    </row>
    <row r="88" spans="1:17" s="100" customFormat="1">
      <c r="A88" s="498"/>
      <c r="B88" s="375"/>
      <c r="C88" s="1454"/>
      <c r="D88" s="987"/>
      <c r="E88" s="987"/>
      <c r="F88" s="987"/>
      <c r="G88" s="987"/>
      <c r="H88" s="987"/>
      <c r="I88" s="987"/>
      <c r="J88" s="987"/>
      <c r="K88" s="987"/>
      <c r="L88" s="987"/>
      <c r="M88" s="987"/>
      <c r="N88" s="987"/>
      <c r="O88" s="987"/>
      <c r="P88" s="987"/>
      <c r="Q88" s="628"/>
    </row>
    <row r="89" spans="1:17" s="100" customFormat="1">
      <c r="A89" s="498"/>
      <c r="B89" s="479" t="s">
        <v>122</v>
      </c>
      <c r="C89" s="1452" t="s">
        <v>359</v>
      </c>
      <c r="D89" s="1448"/>
      <c r="E89" s="1448"/>
      <c r="F89" s="1448"/>
      <c r="G89" s="1448"/>
      <c r="H89" s="1448"/>
      <c r="I89" s="1448"/>
      <c r="J89" s="1448"/>
      <c r="K89" s="1448"/>
      <c r="L89" s="1448"/>
      <c r="M89" s="1448"/>
      <c r="N89" s="1448"/>
      <c r="O89" s="1448"/>
      <c r="P89" s="1448"/>
      <c r="Q89" s="628"/>
    </row>
    <row r="90" spans="1:17" s="100" customFormat="1" ht="8.1" customHeight="1">
      <c r="A90" s="498"/>
      <c r="B90" s="375"/>
      <c r="C90" s="1454"/>
      <c r="D90" s="987"/>
      <c r="E90" s="987"/>
      <c r="F90" s="987"/>
      <c r="G90" s="987"/>
      <c r="H90" s="987"/>
      <c r="I90" s="987"/>
      <c r="J90" s="987"/>
      <c r="K90" s="987"/>
      <c r="L90" s="987"/>
      <c r="M90" s="987"/>
      <c r="N90" s="987"/>
      <c r="O90" s="987"/>
      <c r="P90" s="987"/>
      <c r="Q90" s="628"/>
    </row>
    <row r="91" spans="1:17" s="100" customFormat="1">
      <c r="A91" s="498"/>
      <c r="B91" s="375"/>
      <c r="C91" s="1490" t="s">
        <v>30</v>
      </c>
      <c r="D91" s="987"/>
      <c r="E91" s="987"/>
      <c r="F91" s="987"/>
      <c r="G91" s="987"/>
      <c r="H91" s="987"/>
      <c r="I91" s="1488" t="str">
        <f>IF(ISNUMBER(Worksheet!I139),ROUND(Worksheet!I139,2),"")</f>
        <v/>
      </c>
      <c r="J91" s="1489"/>
      <c r="K91" s="1489"/>
      <c r="L91" s="383"/>
      <c r="M91" s="393" t="s">
        <v>31</v>
      </c>
      <c r="N91" s="394" t="str">
        <f>IF(ISNUMBER(Worksheet!N139),ROUND(Worksheet!N139,2),"")</f>
        <v/>
      </c>
      <c r="O91" s="383"/>
      <c r="P91" s="396"/>
      <c r="Q91" s="628"/>
    </row>
    <row r="92" spans="1:17" s="100" customFormat="1" ht="12" customHeight="1">
      <c r="A92" s="498"/>
      <c r="B92" s="375"/>
      <c r="C92" s="1454"/>
      <c r="D92" s="987"/>
      <c r="E92" s="987"/>
      <c r="F92" s="987"/>
      <c r="G92" s="987"/>
      <c r="H92" s="987"/>
      <c r="I92" s="987"/>
      <c r="J92" s="987"/>
      <c r="K92" s="987"/>
      <c r="L92" s="987"/>
      <c r="M92" s="987"/>
      <c r="N92" s="987"/>
      <c r="O92" s="987"/>
      <c r="P92" s="987"/>
      <c r="Q92" s="628"/>
    </row>
    <row r="93" spans="1:17" s="463" customFormat="1" ht="12" customHeight="1">
      <c r="A93" s="500"/>
      <c r="B93" s="478"/>
      <c r="C93" s="464"/>
      <c r="D93" s="465"/>
      <c r="E93" s="465"/>
      <c r="F93" s="465"/>
      <c r="G93" s="465"/>
      <c r="H93" s="465"/>
      <c r="I93" s="465"/>
      <c r="J93" s="465"/>
      <c r="K93" s="465"/>
      <c r="L93" s="465"/>
      <c r="M93" s="465"/>
      <c r="N93" s="465"/>
      <c r="O93" s="465"/>
      <c r="P93" s="465"/>
      <c r="Q93" s="628"/>
    </row>
    <row r="94" spans="1:17" s="463" customFormat="1" ht="12" customHeight="1">
      <c r="A94" s="510"/>
      <c r="B94" s="375"/>
      <c r="C94" s="385"/>
      <c r="D94" s="386"/>
      <c r="E94" s="387"/>
      <c r="F94" s="386"/>
      <c r="G94" s="388"/>
      <c r="H94" s="385"/>
      <c r="I94" s="383"/>
      <c r="J94" s="383"/>
      <c r="K94" s="383"/>
      <c r="L94" s="383"/>
      <c r="M94" s="383"/>
      <c r="N94" s="404" t="s">
        <v>279</v>
      </c>
      <c r="O94" s="1484" t="str">
        <f>N5</f>
        <v/>
      </c>
      <c r="P94" s="1426"/>
      <c r="Q94" s="628"/>
    </row>
    <row r="95" spans="1:17" s="463" customFormat="1" ht="12" customHeight="1">
      <c r="A95" s="498"/>
      <c r="B95" s="478"/>
      <c r="C95" s="464"/>
      <c r="D95" s="465"/>
      <c r="E95" s="465"/>
      <c r="F95" s="465"/>
      <c r="G95" s="465"/>
      <c r="H95" s="465"/>
      <c r="I95" s="465"/>
      <c r="J95" s="465"/>
      <c r="K95" s="465"/>
      <c r="L95" s="465"/>
      <c r="M95" s="465"/>
      <c r="N95" s="465"/>
      <c r="O95" s="465"/>
      <c r="P95" s="465"/>
      <c r="Q95" s="628"/>
    </row>
    <row r="96" spans="1:17" s="100" customFormat="1">
      <c r="A96" s="498"/>
      <c r="B96" s="479" t="s">
        <v>123</v>
      </c>
      <c r="C96" s="1471" t="s">
        <v>258</v>
      </c>
      <c r="D96" s="1448"/>
      <c r="E96" s="1448"/>
      <c r="F96" s="1448"/>
      <c r="G96" s="1461" t="str">
        <f>IF(Tax!D5=1,"The federal and state tax exemptions for the dependent child are allocated as follows:","The federal and state tax exemptions for the dependent children are allocated as follows:")</f>
        <v>The federal and state tax exemptions for the dependent children are allocated as follows:</v>
      </c>
      <c r="H96" s="1448"/>
      <c r="I96" s="1448"/>
      <c r="J96" s="1448"/>
      <c r="K96" s="1448"/>
      <c r="L96" s="1448"/>
      <c r="M96" s="1448"/>
      <c r="N96" s="1448"/>
      <c r="O96" s="1448"/>
      <c r="P96" s="1448"/>
      <c r="Q96" s="628"/>
    </row>
    <row r="97" spans="1:17" s="100" customFormat="1" ht="12.75" customHeight="1">
      <c r="A97" s="498"/>
      <c r="B97" s="375"/>
      <c r="C97" s="1450"/>
      <c r="D97" s="1460"/>
      <c r="E97" s="1460"/>
      <c r="F97" s="1460"/>
      <c r="G97" s="1460"/>
      <c r="H97" s="1460"/>
      <c r="I97" s="1460"/>
      <c r="J97" s="1460"/>
      <c r="K97" s="1460"/>
      <c r="L97" s="1460"/>
      <c r="M97" s="1460"/>
      <c r="N97" s="1460"/>
      <c r="O97" s="1460"/>
      <c r="P97" s="1460"/>
      <c r="Q97" s="628"/>
    </row>
    <row r="98" spans="1:17" s="100" customFormat="1" ht="12.75" customHeight="1">
      <c r="A98" s="498"/>
      <c r="B98" s="375"/>
      <c r="C98" s="1498" t="s">
        <v>159</v>
      </c>
      <c r="D98" s="1499"/>
      <c r="E98" s="1499"/>
      <c r="F98" s="1499"/>
      <c r="G98" s="1499"/>
      <c r="H98" s="1499"/>
      <c r="I98" s="1501" t="str">
        <f>IF(AND(NOT(ISNUMBER(I100)),NOT(ISNUMBER(I101)),NOT(ISNUMBER(I102)),NOT(ISNUMBER(I103)),NOT(ISNUMBER(I104)),NOT(ISNUMBER(I105)),OR(ISNUMBER(H100),ISNUMBER(H101),ISNUMBER(H102),ISNUMBER(H103),ISNUMBER(H104),ISNUMBER(H105))),"Age",M18)</f>
        <v>Date of Birth</v>
      </c>
      <c r="J98" s="1499"/>
      <c r="K98" s="1502"/>
      <c r="L98" s="1468" t="s">
        <v>165</v>
      </c>
      <c r="M98" s="1469"/>
      <c r="N98" s="1469"/>
      <c r="O98" s="1469"/>
      <c r="P98" s="1470"/>
      <c r="Q98" s="628"/>
    </row>
    <row r="99" spans="1:17" s="100" customFormat="1">
      <c r="A99" s="498"/>
      <c r="B99" s="375"/>
      <c r="C99" s="1499"/>
      <c r="D99" s="1499"/>
      <c r="E99" s="1499"/>
      <c r="F99" s="1499"/>
      <c r="G99" s="1499"/>
      <c r="H99" s="1499"/>
      <c r="I99" s="1499"/>
      <c r="J99" s="1499"/>
      <c r="K99" s="1502"/>
      <c r="L99" s="397">
        <f ca="1">YEAR(TODAY())</f>
        <v>2015</v>
      </c>
      <c r="M99" s="398">
        <f ca="1">IF(NOT(ISNUMBER(I100)),YEAR(TODAY())+1,IF(L99+1&lt;=YEAR(MAX(I100:I105))+18,L99+1,""))</f>
        <v>2016</v>
      </c>
      <c r="N99" s="398">
        <f ca="1">IF(NOT(ISNUMBER(I100)),YEAR(TODAY())+2,IF(AND(ISNUMBER(I100),Tax!E15=0.5),"",IF(L99+2&lt;=YEAR(MAX(I100:I105))+18,L99+2,"")))</f>
        <v>2017</v>
      </c>
      <c r="O99" s="398">
        <f ca="1">IF(NOT(ISNUMBER(I100)),YEAR(TODAY())+3,IF(OR(Tax!E15=0.7,Tax!E15=0.5,Tax!E15=0.3),"",IF(L99+3&lt;=YEAR(MAX(I100:I105))+18,L99+3,"")))</f>
        <v>2018</v>
      </c>
      <c r="P99" s="398">
        <f ca="1">IF(NOT(ISNUMBER(I100)),YEAR(TODAY())+4,IF(OR(Tax!E15=0.75,Tax!E15=0.7,Tax!E15=0.5,Tax!E15=0.3,Tax!E15=0.25),"",IF(L99+4&lt;=YEAR(MAX(I100:I105))+18,L99+4,"")))</f>
        <v>2019</v>
      </c>
      <c r="Q99" s="628"/>
    </row>
    <row r="100" spans="1:17" s="100" customFormat="1" ht="12.75" customHeight="1">
      <c r="A100" s="498"/>
      <c r="B100" s="375"/>
      <c r="C100" s="399" t="str">
        <f>IF(AND(ISBLANK(Worksheet!F18),ISNUMBER(I100),I100=MIN($I$100:$I$105)),"Oldest Child",IF(AND(ISBLANK(Worksheet!F18),ISNUMBER(I100),I100=MAX($I$100:$I$105)),"Youngest Child",IF(AND(ISBLANK(Worksheet!F18),ISNUMBER(I100)),Worksheet!E149,IF(NOT(ISBLANK(Worksheet!F18)),Worksheet!F18,""))))</f>
        <v/>
      </c>
      <c r="D100" s="400"/>
      <c r="E100" s="400"/>
      <c r="F100" s="400"/>
      <c r="G100" s="400"/>
      <c r="H100" s="401" t="str">
        <f t="shared" ref="H100:H105" si="0">IF(ISNUMBER(L19),L19,"")</f>
        <v/>
      </c>
      <c r="I100" s="1463" t="str">
        <f t="shared" ref="I100:I105" si="1">IF(AND(ISNUMBER(L19),L19&lt;=1,NOT(ISNUMBER(M19))),"Year of Age",IF(AND(ISNUMBER(L19),L19&gt;1,NOT(ISNUMBER(M19))),"Years of Age",M19))</f>
        <v/>
      </c>
      <c r="J100" s="1464"/>
      <c r="K100" s="1464"/>
      <c r="L100" s="385" t="str">
        <f>IF(Worksheet!K145="x",VLOOKUP(Tax!D13,Tax!D27:J331,3,FALSE),IF(NOT(ISNUMBER(I100)),"",IF(L99&lt;=YEAR(I100)+18,VLOOKUP(Tax!D13,Tax!D27:J331,3,FALSE),"")))</f>
        <v/>
      </c>
      <c r="M100" s="385" t="str">
        <f>IF(Worksheet!K145="x",VLOOKUP(Tax!D13,Tax!D27:J331,4,FALSE),IF(NOT(ISNUMBER(I100)),"",IF(M99&lt;=YEAR(I100)+18,VLOOKUP(Tax!D13,Tax!D27:J331,4,FALSE),"")))</f>
        <v/>
      </c>
      <c r="N100" s="385" t="str">
        <f>IF(Worksheet!K145="x",VLOOKUP(Tax!D13,Tax!D27:J331,5,FALSE),IF(NOT(ISNUMBER(I100)),"",IF(N99&lt;=YEAR(I100)+18,VLOOKUP(Tax!D13,Tax!D27:J331,5,FALSE),"")))</f>
        <v/>
      </c>
      <c r="O100" s="385" t="str">
        <f>IF(Worksheet!K145="x",VLOOKUP(Tax!D13,Tax!D27:J331,6,FALSE),IF(NOT(ISNUMBER(I100)),"",IF(O99&lt;=YEAR(I100)+18,VLOOKUP(Tax!D13,Tax!D27:J331,6,FALSE),"")))</f>
        <v/>
      </c>
      <c r="P100" s="385" t="str">
        <f>IF(Worksheet!K145="x",VLOOKUP(Tax!D13,Tax!D27:J331,7,FALSE),IF(NOT(ISNUMBER(I100)),"",IF(P99&lt;=YEAR(I100)+18,VLOOKUP(Tax!D13,Tax!D27:J331,7,FALSE),"")))</f>
        <v/>
      </c>
      <c r="Q100" s="628"/>
    </row>
    <row r="101" spans="1:17" s="100" customFormat="1">
      <c r="A101" s="498"/>
      <c r="B101" s="375"/>
      <c r="C101" s="399" t="str">
        <f>IF(AND(ISBLANK(Worksheet!F19),ISNUMBER(I101),I101=MIN($I$100:$I$105)),"Oldest Child",IF(AND(ISBLANK(Worksheet!F19),ISNUMBER(I101),I101=MAX($I$100:$I$105)),"Youngest Child",IF(AND(ISBLANK(Worksheet!F19),ISNUMBER(I101)),Worksheet!E150,IF(NOT(ISBLANK(Worksheet!F19)),Worksheet!F19,""))))</f>
        <v/>
      </c>
      <c r="D101" s="400"/>
      <c r="E101" s="400"/>
      <c r="F101" s="400"/>
      <c r="G101" s="400"/>
      <c r="H101" s="402" t="str">
        <f t="shared" si="0"/>
        <v/>
      </c>
      <c r="I101" s="1463" t="str">
        <f t="shared" si="1"/>
        <v/>
      </c>
      <c r="J101" s="1464"/>
      <c r="K101" s="1464"/>
      <c r="L101" s="385" t="str">
        <f>IF(Worksheet!K145="x",VLOOKUP(Tax!D13+1,Tax!D27:J331,3,FALSE),IF(NOT(ISNUMBER(I101)),"",IF(L99&lt;=YEAR(I101)+18,VLOOKUP(Tax!D13+1,Tax!D27:J331,3,FALSE),"")))</f>
        <v/>
      </c>
      <c r="M101" s="385" t="str">
        <f>IF(Worksheet!K145="x",VLOOKUP(Tax!D13+1,Tax!D27:J331,4,FALSE),IF(NOT(ISNUMBER(I101)),"",IF(M99&lt;=YEAR(I101)+18,VLOOKUP(Tax!D13+1,Tax!D27:J331,4,FALSE),"")))</f>
        <v/>
      </c>
      <c r="N101" s="385" t="str">
        <f>IF(Worksheet!K145="x",VLOOKUP(Tax!D13+1,Tax!D27:J331,5,FALSE),IF(NOT(ISNUMBER(I101)),"",IF(N99&lt;=YEAR(I101)+18,VLOOKUP(Tax!D13+1,Tax!D27:J331,5,FALSE),"")))</f>
        <v/>
      </c>
      <c r="O101" s="385" t="str">
        <f>IF(Worksheet!K145="x",VLOOKUP(Tax!D13+1,Tax!D27:J331,6,FALSE),IF(NOT(ISNUMBER(I101)),"",IF(O99&lt;=YEAR(I101)+18,VLOOKUP(Tax!D13+1,Tax!D27:J331,6,FALSE),"")))</f>
        <v/>
      </c>
      <c r="P101" s="385" t="str">
        <f>IF(Worksheet!K145="x",VLOOKUP(Tax!D13+1,Tax!D27:J331,7,FALSE),IF(NOT(ISNUMBER(I101)),"",IF(P99&lt;=YEAR(I101)+18,VLOOKUP(Tax!D13+1,Tax!D27:J331,7,FALSE),"")))</f>
        <v/>
      </c>
      <c r="Q101" s="628"/>
    </row>
    <row r="102" spans="1:17" s="100" customFormat="1">
      <c r="A102" s="498"/>
      <c r="B102" s="375"/>
      <c r="C102" s="399" t="str">
        <f>IF(AND(ISBLANK(Worksheet!F20),ISNUMBER(I102),I102=MIN($I$100:$I$105)),"Oldest Child",IF(AND(ISBLANK(Worksheet!F20),ISNUMBER(I102),I102=MAX($I$100:$I$105)),"Youngest Child",IF(AND(ISBLANK(Worksheet!F20),ISNUMBER(I102)),Worksheet!E151,IF(NOT(ISBLANK(Worksheet!F20)),Worksheet!F20,""))))</f>
        <v/>
      </c>
      <c r="D102" s="400"/>
      <c r="E102" s="400"/>
      <c r="F102" s="400"/>
      <c r="G102" s="400"/>
      <c r="H102" s="402" t="str">
        <f t="shared" si="0"/>
        <v/>
      </c>
      <c r="I102" s="1463" t="str">
        <f t="shared" si="1"/>
        <v/>
      </c>
      <c r="J102" s="1464"/>
      <c r="K102" s="1464"/>
      <c r="L102" s="385" t="str">
        <f>IF(Worksheet!K145="x",VLOOKUP(Tax!D13+2,Tax!D27:J331,3,FALSE),IF(NOT(ISNUMBER(I102)),"",IF(L99&lt;=YEAR(I102)+18,VLOOKUP(Tax!D13+2,Tax!D27:J331,3,FALSE),"")))</f>
        <v/>
      </c>
      <c r="M102" s="385" t="str">
        <f>IF(Worksheet!K145="x",VLOOKUP(Tax!D13+2,Tax!D27:J331,4,FALSE),IF(NOT(ISNUMBER(I102)),"",IF(M99&lt;=YEAR(I102)+18,VLOOKUP(Tax!D13+2,Tax!D27:J331,4,FALSE),"")))</f>
        <v/>
      </c>
      <c r="N102" s="385" t="str">
        <f>IF(Worksheet!K145="x",VLOOKUP(Tax!D13+2,Tax!D27:J331,5,FALSE),IF(NOT(ISNUMBER(I102)),"",IF(N99&lt;=YEAR(I102)+18,VLOOKUP(Tax!D13+2,Tax!D27:J331,5,FALSE),"")))</f>
        <v/>
      </c>
      <c r="O102" s="385" t="str">
        <f>IF(Worksheet!K145="x",VLOOKUP(Tax!D13+2,Tax!D27:J331,6,FALSE),IF(NOT(ISNUMBER(I102)),"",IF(O99&lt;=YEAR(I102)+18,VLOOKUP(Tax!D13+2,Tax!D27:J331,6,FALSE),"")))</f>
        <v/>
      </c>
      <c r="P102" s="385" t="str">
        <f>IF(Worksheet!K145="x",VLOOKUP(Tax!D13+2,Tax!D27:J331,7,FALSE),IF(NOT(ISNUMBER(I102)),"",IF(P99&lt;=YEAR(I102)+18,VLOOKUP(Tax!D13+2,Tax!D27:J331,7,FALSE),"")))</f>
        <v/>
      </c>
      <c r="Q102" s="628"/>
    </row>
    <row r="103" spans="1:17" s="100" customFormat="1">
      <c r="A103" s="498"/>
      <c r="B103" s="375"/>
      <c r="C103" s="399" t="str">
        <f>IF(AND(ISBLANK(Worksheet!F21),ISNUMBER(I103),I103=MIN($I$100:$I$105)),"Oldest Child",IF(AND(ISBLANK(Worksheet!F21),ISNUMBER(I103),I103=MAX($I$100:$I$105)),"Youngest Child",IF(AND(ISBLANK(Worksheet!F21),ISNUMBER(I103)),Worksheet!E152,IF(NOT(ISBLANK(Worksheet!F21)),Worksheet!F21,""))))</f>
        <v/>
      </c>
      <c r="D103" s="400"/>
      <c r="E103" s="400"/>
      <c r="F103" s="400"/>
      <c r="G103" s="400"/>
      <c r="H103" s="402" t="str">
        <f t="shared" si="0"/>
        <v/>
      </c>
      <c r="I103" s="1463" t="str">
        <f t="shared" si="1"/>
        <v/>
      </c>
      <c r="J103" s="1464"/>
      <c r="K103" s="1464"/>
      <c r="L103" s="403" t="str">
        <f>IF(Worksheet!K145="x",VLOOKUP(Tax!D13+3,Tax!D27:J331,3,FALSE),IF(NOT(ISNUMBER(I103)),"",IF(L99&lt;=YEAR(I103)+18,VLOOKUP(Tax!D13+3,Tax!D27:J331,3,FALSE),"")))</f>
        <v/>
      </c>
      <c r="M103" s="403" t="str">
        <f>IF(Worksheet!K145="x",VLOOKUP(Tax!D13+3,Tax!D27:J331,4,FALSE),IF(NOT(ISNUMBER(I103)),"",IF(M99&lt;=YEAR(I103)+18,VLOOKUP(Tax!D13+3,Tax!D27:J331,4,FALSE),"")))</f>
        <v/>
      </c>
      <c r="N103" s="403" t="str">
        <f>IF(Worksheet!K145="x",VLOOKUP(Tax!D13+3,Tax!D27:J331,5,FALSE),IF(NOT(ISNUMBER(I103)),"",IF(N99&lt;=YEAR(I103)+18,VLOOKUP(Tax!D13+3,Tax!D27:J331,5,FALSE),"")))</f>
        <v/>
      </c>
      <c r="O103" s="403" t="str">
        <f>IF(Worksheet!K145="x",VLOOKUP(Tax!D13+3,Tax!D27:J331,6,FALSE),IF(NOT(ISNUMBER(I103)),"",IF(O99&lt;=YEAR(I103)+18,VLOOKUP(Tax!D13+3,Tax!D27:J331,6,FALSE),"")))</f>
        <v/>
      </c>
      <c r="P103" s="403" t="str">
        <f>IF(Worksheet!K145="x",VLOOKUP(Tax!D13+3,Tax!D27:J331,7,FALSE),IF(NOT(ISNUMBER(I103)),"",IF(P99&lt;=YEAR(I103)+18,VLOOKUP(Tax!D13+3,Tax!D27:J331,7,FALSE),"")))</f>
        <v/>
      </c>
      <c r="Q103" s="628"/>
    </row>
    <row r="104" spans="1:17" s="100" customFormat="1">
      <c r="A104" s="498"/>
      <c r="B104" s="375"/>
      <c r="C104" s="399" t="str">
        <f>IF(AND(ISBLANK(Worksheet!F22),ISNUMBER(I104),I104=MIN($I$100:$I$105)),"Oldest Child",IF(AND(ISBLANK(Worksheet!F22),ISNUMBER(I104),I104=MAX($I$100:$I$105)),"Youngest Child",IF(AND(ISBLANK(Worksheet!F22),ISNUMBER(I104)),Worksheet!E153,IF(NOT(ISBLANK(Worksheet!F22)),Worksheet!F22,""))))</f>
        <v/>
      </c>
      <c r="D104" s="400"/>
      <c r="E104" s="400"/>
      <c r="F104" s="400"/>
      <c r="G104" s="400"/>
      <c r="H104" s="402" t="str">
        <f t="shared" si="0"/>
        <v/>
      </c>
      <c r="I104" s="1463" t="str">
        <f t="shared" si="1"/>
        <v/>
      </c>
      <c r="J104" s="1464"/>
      <c r="K104" s="1464"/>
      <c r="L104" s="403" t="str">
        <f>IF(Worksheet!K145="x",VLOOKUP(Tax!D13+4,Tax!D27:J331,3,FALSE),IF(NOT(ISNUMBER(I104)),"",IF(L99&lt;=YEAR(I104)+18,VLOOKUP(Tax!D13+4,Tax!D27:J331,3,FALSE),"")))</f>
        <v/>
      </c>
      <c r="M104" s="403" t="str">
        <f>IF(Worksheet!K145="x",VLOOKUP(Tax!D13+4,Tax!D27:J331,4,FALSE),IF(NOT(ISNUMBER(I104)),"",IF(M99&lt;=YEAR(I104)+18,VLOOKUP(Tax!D13+4,Tax!D27:J331,4,FALSE),"")))</f>
        <v/>
      </c>
      <c r="N104" s="403" t="str">
        <f>IF(Worksheet!K145="x",VLOOKUP(Tax!D13+4,Tax!D27:J331,5,FALSE),IF(NOT(ISNUMBER(I104)),"",IF(N99&lt;=YEAR(I104)+18,VLOOKUP(Tax!D13+4,Tax!D27:J331,5,FALSE),"")))</f>
        <v/>
      </c>
      <c r="O104" s="403" t="str">
        <f>IF(Worksheet!K145="x",VLOOKUP(Tax!D13+4,Tax!D27:J331,6,FALSE),IF(NOT(ISNUMBER(I104)),"",IF(O99&lt;=YEAR(I104)+18,VLOOKUP(Tax!D13+4,Tax!D27:J331,6,FALSE),"")))</f>
        <v/>
      </c>
      <c r="P104" s="403" t="str">
        <f>IF(Worksheet!K145="x",VLOOKUP(Tax!D13+4,Tax!D27:J331,7,FALSE),IF(NOT(ISNUMBER(I104)),"",IF(P99&lt;=YEAR(I104)+18,VLOOKUP(Tax!D13+4,Tax!D27:J331,7,FALSE),"")))</f>
        <v/>
      </c>
      <c r="Q104" s="628"/>
    </row>
    <row r="105" spans="1:17" s="100" customFormat="1" ht="12.75" customHeight="1">
      <c r="A105" s="498"/>
      <c r="B105" s="375"/>
      <c r="C105" s="399" t="str">
        <f>IF(AND(ISBLANK(Worksheet!F23),ISNUMBER(I105),I105=MIN($I$100:$I$105)),"Oldest Child",IF(AND(ISBLANK(Worksheet!F23),ISNUMBER(I105),I105=MAX($I$100:$I$105)),"Youngest Child",IF(AND(ISBLANK(Worksheet!F23),ISNUMBER(I105)),Worksheet!E154,IF(NOT(ISBLANK(Worksheet!F23)),Worksheet!F23,""))))</f>
        <v/>
      </c>
      <c r="D105" s="400"/>
      <c r="E105" s="400"/>
      <c r="F105" s="400"/>
      <c r="G105" s="400"/>
      <c r="H105" s="402" t="str">
        <f t="shared" si="0"/>
        <v/>
      </c>
      <c r="I105" s="1463" t="str">
        <f t="shared" si="1"/>
        <v/>
      </c>
      <c r="J105" s="1464"/>
      <c r="K105" s="1464"/>
      <c r="L105" s="403" t="str">
        <f>IF(Worksheet!K145="x",VLOOKUP(Tax!D13+5,Tax!D27:J331,3,FALSE),IF(NOT(ISNUMBER(I105)),"",IF(L99&lt;=YEAR(I105)+18,VLOOKUP(Tax!D13+5,Tax!D27:J331,3,FALSE),"")))</f>
        <v/>
      </c>
      <c r="M105" s="403" t="str">
        <f>IF(Worksheet!K145="x",VLOOKUP(Tax!D13+5,Tax!D27:J331,4,FALSE),IF(NOT(ISNUMBER(I105)),"",IF(M99&lt;=YEAR(I105)+18,VLOOKUP(Tax!D13+5,Tax!D27:J331,4,FALSE),"")))</f>
        <v/>
      </c>
      <c r="N105" s="403" t="str">
        <f>IF(Worksheet!K145="x",VLOOKUP(Tax!D13+5,Tax!D27:J331,5,FALSE),IF(NOT(ISNUMBER(I105)),"",IF(N99&lt;=YEAR(I105)+18,VLOOKUP(Tax!D13+5,Tax!D27:J331,5,FALSE),"")))</f>
        <v/>
      </c>
      <c r="O105" s="403" t="str">
        <f>IF(Worksheet!K145="x",VLOOKUP(Tax!D13+5,Tax!D27:J331,6,FALSE),IF(NOT(ISNUMBER(I105)),"",IF(O99&lt;=YEAR(I105)+18,VLOOKUP(Tax!D13+5,Tax!D27:J331,6,FALSE),"")))</f>
        <v/>
      </c>
      <c r="P105" s="403" t="str">
        <f>IF(Worksheet!K145="x",VLOOKUP(Tax!D13+5,Tax!D27:J331,7,FALSE),IF(NOT(ISNUMBER(I105)),"",IF(P99&lt;=YEAR(I105)+18,VLOOKUP(Tax!D13+5,Tax!D27:J331,7,FALSE),"")))</f>
        <v/>
      </c>
      <c r="Q105" s="628"/>
    </row>
    <row r="106" spans="1:17" s="654" customFormat="1" ht="12.75" customHeight="1">
      <c r="A106" s="653"/>
      <c r="B106" s="478"/>
      <c r="C106" s="1497" t="s">
        <v>425</v>
      </c>
      <c r="D106" s="1448"/>
      <c r="E106" s="1448"/>
      <c r="F106" s="1448"/>
      <c r="G106" s="1448"/>
      <c r="H106" s="1448"/>
      <c r="I106" s="1448"/>
      <c r="J106" s="1448"/>
      <c r="K106" s="1448"/>
      <c r="L106" s="1448"/>
      <c r="M106" s="1448"/>
      <c r="N106" s="1448"/>
      <c r="O106" s="1448"/>
      <c r="P106" s="1448"/>
      <c r="Q106" s="656"/>
    </row>
    <row r="107" spans="1:17" s="100" customFormat="1" ht="27" customHeight="1">
      <c r="A107" s="498"/>
      <c r="B107" s="375"/>
      <c r="C107" s="1487" t="str">
        <f>IF(Worksheet!U44=1,"For any years following those listed above while this Child Support Order remains in effect, the parties shall repeat the above pattern of claiming tax deductions for the child.","For any years following those listed above while this Child Support Order remains in effect, the parties shall repeat the above pattern of claiming tax deductions for each child.")</f>
        <v>For any years following those listed above while this Child Support Order remains in effect, the parties shall repeat the above pattern of claiming tax deductions for each child.</v>
      </c>
      <c r="D107" s="987"/>
      <c r="E107" s="987"/>
      <c r="F107" s="987"/>
      <c r="G107" s="987"/>
      <c r="H107" s="987"/>
      <c r="I107" s="987"/>
      <c r="J107" s="987"/>
      <c r="K107" s="987"/>
      <c r="L107" s="987"/>
      <c r="M107" s="987"/>
      <c r="N107" s="987"/>
      <c r="O107" s="987"/>
      <c r="P107" s="987"/>
      <c r="Q107" s="628"/>
    </row>
    <row r="108" spans="1:17" s="100" customFormat="1" ht="25.5" customHeight="1">
      <c r="A108" s="498"/>
      <c r="B108" s="375"/>
      <c r="C108" s="1454" t="str">
        <f>IF(AND(Worksheet!$K$142="x",ISNUMBER(Worksheet!$U$80)),"Each year, Father may claim any exemptions allocated to him only if he has paid all child support and arrears ordered for the year by December 31 of that year.",IF(AND(Worksheet!$K$142="x",ISNUMBER(Worksheet!$Y$80)),"Each year, Mother may claim any exemptions allocated to her only if she has paid all child support and arrears ordered for the year by December 31 of that year.",IF(AND(NOT(ISBLANK(Worksheet!$K$143)),ISNUMBER(Worksheet!$U$80)),"Each year, Father may unconditionally claim any exemptions allocated to him above for all federal and state income tax purposes.",IF(AND(NOT(ISBLANK(Worksheet!$K$143)),ISNUMBER(Worksheet!$Y$80)),"Each year, Mother may unconditionally claim any exemptions allocated to her above for all federal and state income tax purposes.","Each year, the obligor may claim these exemptions only if the obligor has paid all child support and arrears ordered for the year by December 31 of that year."))))</f>
        <v>Each year, the obligor may claim these exemptions only if the obligor has paid all child support and arrears ordered for the year by December 31 of that year.</v>
      </c>
      <c r="D108" s="987"/>
      <c r="E108" s="987"/>
      <c r="F108" s="987"/>
      <c r="G108" s="987"/>
      <c r="H108" s="987"/>
      <c r="I108" s="987"/>
      <c r="J108" s="987"/>
      <c r="K108" s="987"/>
      <c r="L108" s="987"/>
      <c r="M108" s="987"/>
      <c r="N108" s="987"/>
      <c r="O108" s="987"/>
      <c r="P108" s="987"/>
      <c r="Q108" s="628"/>
    </row>
    <row r="109" spans="1:17" s="456" customFormat="1" ht="12.75" customHeight="1">
      <c r="A109" s="498"/>
      <c r="B109" s="375"/>
      <c r="C109" s="454"/>
      <c r="D109" s="453"/>
      <c r="E109" s="453"/>
      <c r="F109" s="453"/>
      <c r="G109" s="453"/>
      <c r="H109" s="453"/>
      <c r="I109" s="453"/>
      <c r="J109" s="453"/>
      <c r="K109" s="453"/>
      <c r="L109" s="453"/>
      <c r="M109" s="453"/>
      <c r="N109" s="453"/>
      <c r="O109" s="453"/>
      <c r="P109" s="453"/>
      <c r="Q109" s="628"/>
    </row>
    <row r="110" spans="1:17" s="456" customFormat="1" ht="12.75" customHeight="1">
      <c r="A110" s="498"/>
      <c r="B110" s="479" t="s">
        <v>227</v>
      </c>
      <c r="C110" s="1452" t="s">
        <v>360</v>
      </c>
      <c r="D110" s="1448"/>
      <c r="E110" s="1448"/>
      <c r="F110" s="1448"/>
      <c r="G110" s="1448"/>
      <c r="H110" s="1448"/>
      <c r="I110" s="1448"/>
      <c r="J110" s="1448"/>
      <c r="K110" s="1448"/>
      <c r="L110" s="1448"/>
      <c r="M110" s="1448"/>
      <c r="N110" s="1448"/>
      <c r="O110" s="1448"/>
      <c r="P110" s="1448"/>
      <c r="Q110" s="628"/>
    </row>
    <row r="111" spans="1:17" s="456" customFormat="1" ht="26.25" customHeight="1">
      <c r="A111" s="498"/>
      <c r="B111" s="375"/>
      <c r="C111" s="1465" t="s">
        <v>314</v>
      </c>
      <c r="D111" s="1446"/>
      <c r="E111" s="1446"/>
      <c r="F111" s="1446"/>
      <c r="G111" s="1446"/>
      <c r="H111" s="1446"/>
      <c r="I111" s="1446"/>
      <c r="J111" s="1446"/>
      <c r="K111" s="1446"/>
      <c r="L111" s="1446"/>
      <c r="M111" s="1446"/>
      <c r="N111" s="1446"/>
      <c r="O111" s="1446"/>
      <c r="P111" s="1446"/>
      <c r="Q111" s="628"/>
    </row>
    <row r="112" spans="1:17" s="456" customFormat="1" ht="12.75" customHeight="1">
      <c r="A112" s="498"/>
      <c r="B112" s="375"/>
      <c r="C112" s="1454"/>
      <c r="D112" s="987"/>
      <c r="E112" s="987"/>
      <c r="F112" s="987"/>
      <c r="G112" s="987"/>
      <c r="H112" s="987"/>
      <c r="I112" s="987"/>
      <c r="J112" s="987"/>
      <c r="K112" s="987"/>
      <c r="L112" s="987"/>
      <c r="M112" s="987"/>
      <c r="N112" s="987"/>
      <c r="O112" s="987"/>
      <c r="P112" s="987"/>
      <c r="Q112" s="628"/>
    </row>
    <row r="113" spans="1:17" s="100" customFormat="1">
      <c r="A113" s="498"/>
      <c r="B113" s="1496" t="s">
        <v>124</v>
      </c>
      <c r="C113" s="987"/>
      <c r="D113" s="987"/>
      <c r="E113" s="987"/>
      <c r="F113" s="987"/>
      <c r="G113" s="987"/>
      <c r="H113" s="987"/>
      <c r="I113" s="987"/>
      <c r="J113" s="987"/>
      <c r="K113" s="987"/>
      <c r="L113" s="987"/>
      <c r="M113" s="987"/>
      <c r="N113" s="987"/>
      <c r="O113" s="987"/>
      <c r="P113" s="987"/>
      <c r="Q113" s="628"/>
    </row>
    <row r="114" spans="1:17" s="100" customFormat="1">
      <c r="A114" s="498"/>
      <c r="B114" s="375"/>
      <c r="C114" s="386"/>
      <c r="D114" s="386"/>
      <c r="E114" s="386"/>
      <c r="F114" s="386"/>
      <c r="G114" s="386"/>
      <c r="H114" s="386"/>
      <c r="I114" s="386"/>
      <c r="J114" s="386"/>
      <c r="K114" s="386"/>
      <c r="L114" s="383"/>
      <c r="M114" s="383"/>
      <c r="N114" s="383"/>
      <c r="O114" s="383"/>
      <c r="P114" s="383"/>
      <c r="Q114" s="628"/>
    </row>
    <row r="115" spans="1:17" s="100" customFormat="1" ht="12.75" customHeight="1">
      <c r="A115" s="498"/>
      <c r="B115" s="479" t="s">
        <v>229</v>
      </c>
      <c r="C115" s="1462" t="s">
        <v>361</v>
      </c>
      <c r="D115" s="1448"/>
      <c r="E115" s="1448"/>
      <c r="F115" s="1448"/>
      <c r="G115" s="1448"/>
      <c r="H115" s="1448"/>
      <c r="I115" s="1448"/>
      <c r="J115" s="1448"/>
      <c r="K115" s="1448"/>
      <c r="L115" s="1448"/>
      <c r="M115" s="1448"/>
      <c r="N115" s="1448"/>
      <c r="O115" s="1448"/>
      <c r="P115" s="1448"/>
      <c r="Q115" s="628"/>
    </row>
    <row r="116" spans="1:17" s="456" customFormat="1" ht="12.75" customHeight="1">
      <c r="A116" s="498"/>
      <c r="B116" s="477"/>
      <c r="C116" s="1466" t="s">
        <v>315</v>
      </c>
      <c r="D116" s="1446"/>
      <c r="E116" s="1446"/>
      <c r="F116" s="1446"/>
      <c r="G116" s="1446"/>
      <c r="H116" s="1446"/>
      <c r="I116" s="1446"/>
      <c r="J116" s="1446"/>
      <c r="K116" s="1446"/>
      <c r="L116" s="1446"/>
      <c r="M116" s="1446"/>
      <c r="N116" s="1446"/>
      <c r="O116" s="1446"/>
      <c r="P116" s="1446"/>
      <c r="Q116" s="628"/>
    </row>
    <row r="117" spans="1:17" s="456" customFormat="1" ht="12.75" customHeight="1">
      <c r="A117" s="498"/>
      <c r="B117" s="477"/>
      <c r="C117" s="375"/>
      <c r="D117" s="375"/>
      <c r="E117" s="375"/>
      <c r="F117" s="375"/>
      <c r="G117" s="425"/>
      <c r="H117" s="425"/>
      <c r="J117" s="425"/>
      <c r="K117" s="425"/>
      <c r="L117" s="425"/>
      <c r="M117" s="425"/>
      <c r="N117" s="425"/>
      <c r="O117" s="425"/>
      <c r="P117" s="425"/>
      <c r="Q117" s="628"/>
    </row>
    <row r="118" spans="1:17" s="100" customFormat="1">
      <c r="A118" s="498"/>
      <c r="B118" s="479" t="s">
        <v>230</v>
      </c>
      <c r="C118" s="1462" t="s">
        <v>342</v>
      </c>
      <c r="D118" s="1448"/>
      <c r="E118" s="1448"/>
      <c r="F118" s="1448"/>
      <c r="G118" s="1448"/>
      <c r="H118" s="1448"/>
      <c r="I118" s="1448"/>
      <c r="J118" s="1448"/>
      <c r="K118" s="1448"/>
      <c r="L118" s="1448"/>
      <c r="M118" s="1448"/>
      <c r="N118" s="1448"/>
      <c r="O118" s="1448"/>
      <c r="P118" s="1448"/>
      <c r="Q118" s="628"/>
    </row>
    <row r="119" spans="1:17" s="100" customFormat="1" ht="26.25" customHeight="1">
      <c r="A119" s="498"/>
      <c r="B119" s="375"/>
      <c r="C119" s="1466" t="s">
        <v>344</v>
      </c>
      <c r="D119" s="1446"/>
      <c r="E119" s="1446"/>
      <c r="F119" s="1446"/>
      <c r="G119" s="1446"/>
      <c r="H119" s="1446"/>
      <c r="I119" s="1446"/>
      <c r="J119" s="1446"/>
      <c r="K119" s="1446"/>
      <c r="L119" s="1446"/>
      <c r="M119" s="1446"/>
      <c r="N119" s="1446"/>
      <c r="O119" s="1446"/>
      <c r="P119" s="1446"/>
      <c r="Q119" s="628"/>
    </row>
    <row r="120" spans="1:17" s="100" customFormat="1">
      <c r="A120" s="498"/>
      <c r="B120" s="375"/>
      <c r="C120" s="386"/>
      <c r="D120" s="1461" t="s">
        <v>125</v>
      </c>
      <c r="E120" s="1448"/>
      <c r="F120" s="1448"/>
      <c r="G120" s="1448"/>
      <c r="H120" s="1448"/>
      <c r="I120" s="1448"/>
      <c r="J120" s="1448"/>
      <c r="K120" s="1448"/>
      <c r="L120" s="1448"/>
      <c r="M120" s="1448"/>
      <c r="N120" s="1448"/>
      <c r="O120" s="1448"/>
      <c r="P120" s="1448"/>
      <c r="Q120" s="628"/>
    </row>
    <row r="121" spans="1:17" s="100" customFormat="1">
      <c r="A121" s="498"/>
      <c r="B121" s="375"/>
      <c r="C121" s="386"/>
      <c r="D121" s="1461" t="s">
        <v>204</v>
      </c>
      <c r="E121" s="1448"/>
      <c r="F121" s="1448"/>
      <c r="G121" s="1448"/>
      <c r="H121" s="1448"/>
      <c r="I121" s="1448"/>
      <c r="J121" s="1448"/>
      <c r="K121" s="1448"/>
      <c r="L121" s="1448"/>
      <c r="M121" s="1448"/>
      <c r="N121" s="1448"/>
      <c r="O121" s="1448"/>
      <c r="P121" s="1448"/>
      <c r="Q121" s="628"/>
    </row>
    <row r="122" spans="1:17" s="100" customFormat="1">
      <c r="A122" s="498"/>
      <c r="B122" s="375"/>
      <c r="C122" s="386"/>
      <c r="D122" s="1461" t="s">
        <v>126</v>
      </c>
      <c r="E122" s="1448"/>
      <c r="F122" s="1448"/>
      <c r="G122" s="1448"/>
      <c r="H122" s="1448"/>
      <c r="I122" s="1448"/>
      <c r="J122" s="1448"/>
      <c r="K122" s="1448"/>
      <c r="L122" s="1448"/>
      <c r="M122" s="1448"/>
      <c r="N122" s="1448"/>
      <c r="O122" s="1448"/>
      <c r="P122" s="1448"/>
      <c r="Q122" s="628"/>
    </row>
    <row r="123" spans="1:17" s="100" customFormat="1" ht="18.75" customHeight="1">
      <c r="A123" s="498"/>
      <c r="B123" s="375"/>
      <c r="C123" s="386"/>
      <c r="D123" s="1461" t="s">
        <v>127</v>
      </c>
      <c r="E123" s="1448"/>
      <c r="F123" s="1448"/>
      <c r="G123" s="1448"/>
      <c r="H123" s="1448"/>
      <c r="I123" s="1448"/>
      <c r="J123" s="1448"/>
      <c r="K123" s="1448"/>
      <c r="L123" s="1448"/>
      <c r="M123" s="1448"/>
      <c r="N123" s="1448"/>
      <c r="O123" s="1448"/>
      <c r="P123" s="1448"/>
      <c r="Q123" s="628"/>
    </row>
    <row r="124" spans="1:17" s="100" customFormat="1" ht="63.75" customHeight="1">
      <c r="A124" s="498"/>
      <c r="B124" s="100" t="str">
        <f>IF(ISBLANK(Worksheet!E169),"","14.")</f>
        <v>14.</v>
      </c>
      <c r="C124" s="1467" t="str">
        <f>IF(ISBLANK(Worksheet!E169),"",Worksheet!E169)</f>
        <v>Even though there are orders regarding medical insurance and the allocation of the right to claim a chld as a dependent for the purposes of federal taxes contained in this judgment, this is not binding on the IRS.  Under the Affordable Care Act, the parent who claims the child as a dependent on a federal tax return has the obligation to ensure that the child is covered by medical insurance and may be penalized by the IRS for failing to do so.</v>
      </c>
      <c r="D124" s="987"/>
      <c r="E124" s="987"/>
      <c r="F124" s="987"/>
      <c r="G124" s="987"/>
      <c r="H124" s="987"/>
      <c r="I124" s="987"/>
      <c r="J124" s="987"/>
      <c r="K124" s="987"/>
      <c r="L124" s="987"/>
      <c r="M124" s="987"/>
      <c r="N124" s="987"/>
      <c r="O124" s="987"/>
      <c r="P124" s="987"/>
      <c r="Q124" s="626"/>
    </row>
    <row r="125" spans="1:17" s="100" customFormat="1">
      <c r="A125" s="498"/>
      <c r="B125" s="1449" t="str">
        <f>IF(NOT(ISBLANK(Worksheet!E171)),"Stipulation.","")</f>
        <v/>
      </c>
      <c r="C125" s="1153"/>
      <c r="D125" s="1153"/>
      <c r="E125" s="1495" t="str">
        <f>IF(NOT(ISBLANK(Worksheet!E171)),"By signing this document, we state under penalty of perjury, that we have read and agree to this","")</f>
        <v/>
      </c>
      <c r="F125" s="916"/>
      <c r="G125" s="916"/>
      <c r="H125" s="916"/>
      <c r="I125" s="916"/>
      <c r="J125" s="916"/>
      <c r="K125" s="916"/>
      <c r="L125" s="916"/>
      <c r="M125" s="916"/>
      <c r="N125" s="916"/>
      <c r="O125" s="916"/>
      <c r="P125" s="916"/>
      <c r="Q125" s="628"/>
    </row>
    <row r="126" spans="1:17" s="100" customFormat="1" ht="12.75" customHeight="1">
      <c r="A126" s="498"/>
      <c r="B126" s="1446" t="str">
        <f>IF(NOT(ISBLANK(Worksheet!E171)),"Order and that all the information contained in it is true and complete to the best of our knowledge and belief.","")</f>
        <v/>
      </c>
      <c r="C126" s="1446"/>
      <c r="D126" s="1446"/>
      <c r="E126" s="1446"/>
      <c r="F126" s="1446"/>
      <c r="G126" s="1446"/>
      <c r="H126" s="1446"/>
      <c r="I126" s="1446"/>
      <c r="J126" s="1446"/>
      <c r="K126" s="1446"/>
      <c r="L126" s="1446"/>
      <c r="M126" s="1446"/>
      <c r="N126" s="1446"/>
      <c r="O126" s="1446"/>
      <c r="P126" s="1446"/>
      <c r="Q126" s="628"/>
    </row>
    <row r="127" spans="1:17" s="100" customFormat="1" ht="36" customHeight="1">
      <c r="A127" s="498"/>
      <c r="B127" s="1450" t="str">
        <f>IF(NOT(ISBLANK(Worksheet!E171))," ","")</f>
        <v/>
      </c>
      <c r="C127" s="1451"/>
      <c r="D127" s="1451"/>
      <c r="E127" s="1451"/>
      <c r="F127" s="1451"/>
      <c r="G127" s="1451"/>
      <c r="H127" s="1451"/>
      <c r="I127" s="1451"/>
      <c r="J127" s="1451"/>
      <c r="K127" s="1451"/>
      <c r="L127" s="406"/>
      <c r="M127" s="1450" t="str">
        <f>IF(NOT(ISBLANK(Worksheet!E171))," ","")</f>
        <v/>
      </c>
      <c r="N127" s="1460"/>
      <c r="O127" s="1460"/>
      <c r="P127" s="1460"/>
      <c r="Q127" s="628"/>
    </row>
    <row r="128" spans="1:17" s="100" customFormat="1">
      <c r="A128" s="498"/>
      <c r="B128" s="1494" t="str">
        <f>IF(NOT(ISBLANK(Worksheet!E171)),Worksheet!F12,"")</f>
        <v/>
      </c>
      <c r="C128" s="1310"/>
      <c r="D128" s="1310"/>
      <c r="E128" s="1310"/>
      <c r="F128" s="1310"/>
      <c r="G128" s="1310"/>
      <c r="H128" s="1310"/>
      <c r="I128" s="509"/>
      <c r="J128" s="1464" t="str">
        <f>IF(NOT(ISBLANK(Worksheet!E171)),"Date","")</f>
        <v/>
      </c>
      <c r="K128" s="1464"/>
      <c r="L128" s="443"/>
      <c r="M128" s="1472" t="str">
        <f>IF(NOT(ISBLANK(Worksheet!E171)),Worksheet!F14,"")</f>
        <v/>
      </c>
      <c r="N128" s="1493"/>
      <c r="O128" s="1493"/>
      <c r="P128" s="499" t="str">
        <f>IF(NOT(ISBLANK(Worksheet!E171)),"Date","")</f>
        <v/>
      </c>
      <c r="Q128" s="628"/>
    </row>
    <row r="129" spans="1:17" s="100" customFormat="1" ht="36" customHeight="1">
      <c r="A129" s="498"/>
      <c r="B129" s="1450" t="str">
        <f>IF(AND(NOT(ISBLANK(Worksheet!E171)),NOT(ISBLANK(Worksheet!I171)))," ","")</f>
        <v/>
      </c>
      <c r="C129" s="1460"/>
      <c r="D129" s="1460"/>
      <c r="E129" s="1460"/>
      <c r="F129" s="1460"/>
      <c r="G129" s="1460"/>
      <c r="H129" s="1460"/>
      <c r="I129" s="1460"/>
      <c r="J129" s="1460"/>
      <c r="K129" s="1460"/>
      <c r="L129" s="406"/>
      <c r="M129" s="1450" t="str">
        <f>IF(AND(NOT(ISBLANK(Worksheet!E171)),NOT(ISBLANK(Worksheet!I171)))," ","")</f>
        <v/>
      </c>
      <c r="N129" s="1460"/>
      <c r="O129" s="1460"/>
      <c r="P129" s="1460"/>
      <c r="Q129" s="628"/>
    </row>
    <row r="130" spans="1:17" s="100" customFormat="1">
      <c r="A130" s="498"/>
      <c r="B130" s="1494" t="str">
        <f>IF(AND(NOT(ISBLANK(Worksheet!E171)),NOT(ISBLANK(Worksheet!I171))),"Petitioner's Attorney","")</f>
        <v/>
      </c>
      <c r="C130" s="1310"/>
      <c r="D130" s="1310"/>
      <c r="E130" s="1310"/>
      <c r="F130" s="1310"/>
      <c r="G130" s="1310"/>
      <c r="H130" s="1310"/>
      <c r="I130" s="1310"/>
      <c r="J130" s="1464" t="str">
        <f>IF(AND(NOT(ISBLANK(Worksheet!E171)),NOT(ISBLANK(Worksheet!I171))),"Date","")</f>
        <v/>
      </c>
      <c r="K130" s="1464"/>
      <c r="L130" s="443"/>
      <c r="M130" s="1472" t="str">
        <f>IF(AND(NOT(ISBLANK(Worksheet!E171)),NOT(ISBLANK(Worksheet!I171))),"Respondent's Attorney","")</f>
        <v/>
      </c>
      <c r="N130" s="1473"/>
      <c r="O130" s="1473"/>
      <c r="P130" s="499" t="str">
        <f>IF(AND(NOT(ISBLANK(Worksheet!E171)),NOT(ISBLANK(Worksheet!I171))),"Date","")</f>
        <v/>
      </c>
      <c r="Q130" s="628"/>
    </row>
    <row r="131" spans="1:17" s="100" customFormat="1" ht="47.25" customHeight="1">
      <c r="A131" s="498"/>
      <c r="B131" s="1445">
        <f ca="1">IF(NOT(ISBLANK(Worksheet!J173)),Worksheet!J173,Worksheet!L32)</f>
        <v>42187</v>
      </c>
      <c r="C131" s="1426"/>
      <c r="D131" s="1426"/>
      <c r="E131" s="1426"/>
      <c r="F131" s="1426"/>
      <c r="G131" s="1426"/>
      <c r="H131" s="1426"/>
      <c r="I131" s="1426"/>
      <c r="J131" s="1426"/>
      <c r="K131" s="1426"/>
      <c r="L131" s="406"/>
      <c r="M131" s="1450"/>
      <c r="N131" s="1458"/>
      <c r="O131" s="1458"/>
      <c r="P131" s="1458"/>
      <c r="Q131" s="628"/>
    </row>
    <row r="132" spans="1:17">
      <c r="A132" s="498"/>
      <c r="B132" s="1456" t="s">
        <v>107</v>
      </c>
      <c r="C132" s="1457"/>
      <c r="D132" s="1457"/>
      <c r="E132" s="1457"/>
      <c r="F132" s="1457"/>
      <c r="G132" s="1457"/>
      <c r="H132" s="1457"/>
      <c r="I132" s="1457"/>
      <c r="J132" s="1457"/>
      <c r="K132" s="1457"/>
      <c r="L132" s="379"/>
      <c r="M132" s="1459" t="str">
        <f>IF(NOT(ISBLANK(County!D7)),County!D7,County!D6)</f>
        <v>Judicial Officer</v>
      </c>
      <c r="N132" s="1457"/>
      <c r="O132" s="1457"/>
      <c r="P132" s="1457"/>
      <c r="Q132" s="363"/>
    </row>
    <row r="133" spans="1:17">
      <c r="A133" s="516"/>
      <c r="B133" s="370"/>
      <c r="C133" s="360"/>
      <c r="D133" s="360"/>
      <c r="E133" s="360"/>
      <c r="F133" s="360"/>
      <c r="G133" s="360"/>
      <c r="H133" s="360"/>
      <c r="I133" s="360"/>
      <c r="J133" s="360"/>
      <c r="K133" s="360"/>
      <c r="L133" s="362"/>
      <c r="M133" s="362"/>
      <c r="N133" s="362"/>
      <c r="O133" s="362"/>
      <c r="P133" s="362"/>
      <c r="Q133" s="363"/>
    </row>
    <row r="134" spans="1:17">
      <c r="B134" s="108"/>
      <c r="C134" s="84"/>
      <c r="D134" s="84"/>
      <c r="E134" s="84"/>
      <c r="F134" s="84"/>
      <c r="G134" s="84"/>
      <c r="H134" s="84"/>
      <c r="I134" s="84"/>
      <c r="J134" s="84"/>
      <c r="K134" s="84"/>
      <c r="L134" s="84"/>
    </row>
    <row r="135" spans="1:17">
      <c r="B135" s="108"/>
      <c r="C135" s="84"/>
      <c r="D135" s="84"/>
      <c r="E135" s="84"/>
      <c r="F135" s="84"/>
      <c r="G135" s="84"/>
      <c r="H135" s="84"/>
      <c r="I135" s="84"/>
      <c r="J135" s="84"/>
      <c r="K135" s="84"/>
      <c r="L135" s="84"/>
    </row>
    <row r="136" spans="1:17">
      <c r="B136" s="108"/>
      <c r="C136" s="84"/>
      <c r="D136" s="84"/>
      <c r="E136" s="84"/>
      <c r="F136" s="84"/>
      <c r="G136" s="84"/>
      <c r="H136" s="84"/>
      <c r="I136" s="84"/>
      <c r="J136" s="84"/>
      <c r="K136" s="84"/>
      <c r="L136" s="84"/>
    </row>
    <row r="137" spans="1:17">
      <c r="B137" s="108"/>
      <c r="C137" s="84"/>
      <c r="D137" s="84"/>
      <c r="E137" s="84"/>
      <c r="F137" s="84"/>
      <c r="G137" s="84"/>
      <c r="H137" s="84"/>
      <c r="I137" s="84"/>
      <c r="J137" s="84"/>
      <c r="K137" s="84"/>
      <c r="L137" s="84"/>
    </row>
    <row r="138" spans="1:17">
      <c r="B138" s="108"/>
      <c r="C138" s="84"/>
      <c r="D138" s="84"/>
      <c r="E138" s="84"/>
      <c r="F138" s="84"/>
      <c r="G138" s="84"/>
      <c r="H138" s="84"/>
      <c r="I138" s="84"/>
      <c r="J138" s="84"/>
      <c r="K138" s="84"/>
      <c r="L138" s="84"/>
    </row>
    <row r="139" spans="1:17">
      <c r="B139" s="108"/>
      <c r="C139" s="84"/>
      <c r="D139" s="84"/>
      <c r="E139" s="84"/>
      <c r="F139" s="84"/>
      <c r="G139" s="84"/>
      <c r="H139" s="84"/>
      <c r="I139" s="84"/>
      <c r="J139" s="84"/>
      <c r="K139" s="84"/>
      <c r="L139" s="84"/>
    </row>
    <row r="140" spans="1:17">
      <c r="B140" s="108"/>
      <c r="C140" s="84"/>
      <c r="D140" s="84"/>
      <c r="E140" s="84"/>
      <c r="F140" s="84"/>
      <c r="G140" s="84"/>
      <c r="H140" s="84"/>
      <c r="I140" s="84"/>
      <c r="J140" s="84"/>
      <c r="K140" s="84"/>
      <c r="L140" s="84"/>
    </row>
  </sheetData>
  <sheetProtection password="CA2C" sheet="1" objects="1" scenarios="1"/>
  <mergeCells count="174">
    <mergeCell ref="F56:L56"/>
    <mergeCell ref="N56:P56"/>
    <mergeCell ref="C57:L57"/>
    <mergeCell ref="O57:P57"/>
    <mergeCell ref="I59:N59"/>
    <mergeCell ref="E67:M67"/>
    <mergeCell ref="C69:P69"/>
    <mergeCell ref="I98:K99"/>
    <mergeCell ref="I73:P73"/>
    <mergeCell ref="C79:P79"/>
    <mergeCell ref="C82:G82"/>
    <mergeCell ref="H82:P82"/>
    <mergeCell ref="I74:P74"/>
    <mergeCell ref="C75:P75"/>
    <mergeCell ref="C78:P78"/>
    <mergeCell ref="C85:P85"/>
    <mergeCell ref="C89:P89"/>
    <mergeCell ref="C56:E56"/>
    <mergeCell ref="D62:M62"/>
    <mergeCell ref="D63:M63"/>
    <mergeCell ref="D64:M64"/>
    <mergeCell ref="D66:M66"/>
    <mergeCell ref="M60:N60"/>
    <mergeCell ref="C60:L60"/>
    <mergeCell ref="M128:O128"/>
    <mergeCell ref="B128:H128"/>
    <mergeCell ref="J128:K128"/>
    <mergeCell ref="B130:I130"/>
    <mergeCell ref="J130:K130"/>
    <mergeCell ref="C71:P71"/>
    <mergeCell ref="C80:P80"/>
    <mergeCell ref="C119:P119"/>
    <mergeCell ref="B125:D125"/>
    <mergeCell ref="E125:P125"/>
    <mergeCell ref="C108:P108"/>
    <mergeCell ref="B113:P113"/>
    <mergeCell ref="C74:H74"/>
    <mergeCell ref="C73:H73"/>
    <mergeCell ref="C72:H72"/>
    <mergeCell ref="B129:K129"/>
    <mergeCell ref="C106:P106"/>
    <mergeCell ref="I72:P72"/>
    <mergeCell ref="C98:H99"/>
    <mergeCell ref="C38:E38"/>
    <mergeCell ref="F38:P38"/>
    <mergeCell ref="F28:P28"/>
    <mergeCell ref="O94:P94"/>
    <mergeCell ref="C107:P107"/>
    <mergeCell ref="C84:P84"/>
    <mergeCell ref="C88:P88"/>
    <mergeCell ref="C97:P97"/>
    <mergeCell ref="I87:K87"/>
    <mergeCell ref="C87:H87"/>
    <mergeCell ref="C91:H91"/>
    <mergeCell ref="I91:K91"/>
    <mergeCell ref="C86:P86"/>
    <mergeCell ref="C90:P90"/>
    <mergeCell ref="C92:P92"/>
    <mergeCell ref="C83:P83"/>
    <mergeCell ref="O34:P34"/>
    <mergeCell ref="C35:J35"/>
    <mergeCell ref="I102:K102"/>
    <mergeCell ref="I103:K103"/>
    <mergeCell ref="I104:K104"/>
    <mergeCell ref="I105:K105"/>
    <mergeCell ref="C48:G48"/>
    <mergeCell ref="D65:M65"/>
    <mergeCell ref="C51:K51"/>
    <mergeCell ref="O51:P51"/>
    <mergeCell ref="O53:P53"/>
    <mergeCell ref="C53:L53"/>
    <mergeCell ref="I55:P55"/>
    <mergeCell ref="C43:K43"/>
    <mergeCell ref="L43:M43"/>
    <mergeCell ref="N43:O43"/>
    <mergeCell ref="C49:K49"/>
    <mergeCell ref="H48:N48"/>
    <mergeCell ref="L49:M49"/>
    <mergeCell ref="O49:P49"/>
    <mergeCell ref="M53:N53"/>
    <mergeCell ref="C52:M52"/>
    <mergeCell ref="O52:P52"/>
    <mergeCell ref="C55:H55"/>
    <mergeCell ref="C50:P50"/>
    <mergeCell ref="O46:P46"/>
    <mergeCell ref="B131:K131"/>
    <mergeCell ref="B132:K132"/>
    <mergeCell ref="M131:P131"/>
    <mergeCell ref="M132:P132"/>
    <mergeCell ref="M127:P127"/>
    <mergeCell ref="M129:P129"/>
    <mergeCell ref="G96:P96"/>
    <mergeCell ref="C118:P118"/>
    <mergeCell ref="I101:K101"/>
    <mergeCell ref="D120:P120"/>
    <mergeCell ref="D121:P121"/>
    <mergeCell ref="D122:P122"/>
    <mergeCell ref="D123:P123"/>
    <mergeCell ref="C111:P111"/>
    <mergeCell ref="I100:K100"/>
    <mergeCell ref="C110:P110"/>
    <mergeCell ref="C115:P115"/>
    <mergeCell ref="C116:P116"/>
    <mergeCell ref="C124:P124"/>
    <mergeCell ref="L98:P98"/>
    <mergeCell ref="C112:P112"/>
    <mergeCell ref="C96:F96"/>
    <mergeCell ref="B126:P126"/>
    <mergeCell ref="M130:O130"/>
    <mergeCell ref="B15:K15"/>
    <mergeCell ref="D18:G18"/>
    <mergeCell ref="C17:P17"/>
    <mergeCell ref="M19:N19"/>
    <mergeCell ref="C42:E42"/>
    <mergeCell ref="F42:M42"/>
    <mergeCell ref="B40:P40"/>
    <mergeCell ref="B127:K127"/>
    <mergeCell ref="C70:P70"/>
    <mergeCell ref="C76:P76"/>
    <mergeCell ref="B77:P77"/>
    <mergeCell ref="C81:P81"/>
    <mergeCell ref="M20:N20"/>
    <mergeCell ref="M21:N21"/>
    <mergeCell ref="M22:N22"/>
    <mergeCell ref="M23:N23"/>
    <mergeCell ref="M24:N24"/>
    <mergeCell ref="D19:J19"/>
    <mergeCell ref="D20:J20"/>
    <mergeCell ref="D21:J21"/>
    <mergeCell ref="D22:J22"/>
    <mergeCell ref="D23:J23"/>
    <mergeCell ref="D24:J24"/>
    <mergeCell ref="M57:N57"/>
    <mergeCell ref="B1:P1"/>
    <mergeCell ref="B2:P2"/>
    <mergeCell ref="B4:K4"/>
    <mergeCell ref="B5:K5"/>
    <mergeCell ref="B7:K7"/>
    <mergeCell ref="B8:K8"/>
    <mergeCell ref="B9:K11"/>
    <mergeCell ref="I12:K12"/>
    <mergeCell ref="B13:K13"/>
    <mergeCell ref="I6:K6"/>
    <mergeCell ref="M5:M6"/>
    <mergeCell ref="M7:M8"/>
    <mergeCell ref="M11:P12"/>
    <mergeCell ref="N5:P6"/>
    <mergeCell ref="N7:P8"/>
    <mergeCell ref="B6:H6"/>
    <mergeCell ref="B12:H12"/>
    <mergeCell ref="C58:P58"/>
    <mergeCell ref="M18:N18"/>
    <mergeCell ref="B25:K25"/>
    <mergeCell ref="C26:P26"/>
    <mergeCell ref="C29:H29"/>
    <mergeCell ref="I29:K29"/>
    <mergeCell ref="L29:P29"/>
    <mergeCell ref="C30:P30"/>
    <mergeCell ref="C37:E37"/>
    <mergeCell ref="F37:P37"/>
    <mergeCell ref="C31:M31"/>
    <mergeCell ref="O31:P31"/>
    <mergeCell ref="C32:P32"/>
    <mergeCell ref="G34:K34"/>
    <mergeCell ref="C34:F34"/>
    <mergeCell ref="M34:N34"/>
    <mergeCell ref="C28:E28"/>
    <mergeCell ref="C33:F33"/>
    <mergeCell ref="G33:N33"/>
    <mergeCell ref="K35:L35"/>
    <mergeCell ref="M35:N35"/>
    <mergeCell ref="O35:P35"/>
    <mergeCell ref="O42:P42"/>
    <mergeCell ref="M51:N51"/>
  </mergeCells>
  <phoneticPr fontId="0" type="noConversion"/>
  <conditionalFormatting sqref="L19:L24">
    <cfRule type="expression" dxfId="140" priority="59" stopIfTrue="1">
      <formula>ISNUMBER(L19)</formula>
    </cfRule>
  </conditionalFormatting>
  <conditionalFormatting sqref="C100:C106">
    <cfRule type="expression" dxfId="139" priority="54" stopIfTrue="1">
      <formula>OR(ISNUMBER(H100),ISNUMBER(I100))</formula>
    </cfRule>
  </conditionalFormatting>
  <conditionalFormatting sqref="H100:H105">
    <cfRule type="expression" dxfId="138" priority="52" stopIfTrue="1">
      <formula>ISNUMBER(H100)</formula>
    </cfRule>
    <cfRule type="expression" dxfId="137" priority="53" stopIfTrue="1">
      <formula>ISNUMBER(I100)</formula>
    </cfRule>
  </conditionalFormatting>
  <conditionalFormatting sqref="I100:K105">
    <cfRule type="expression" dxfId="136" priority="51" stopIfTrue="1">
      <formula>OR(ISNUMBER($H100),ISNUMBER($I100))</formula>
    </cfRule>
  </conditionalFormatting>
  <conditionalFormatting sqref="D100:D105">
    <cfRule type="expression" dxfId="135" priority="48" stopIfTrue="1">
      <formula>OR(ISNUMBER(H100),ISNUMBER(I100))</formula>
    </cfRule>
  </conditionalFormatting>
  <conditionalFormatting sqref="E100:E105">
    <cfRule type="expression" dxfId="134" priority="47" stopIfTrue="1">
      <formula>OR(ISNUMBER(H100),ISNUMBER(I100))</formula>
    </cfRule>
  </conditionalFormatting>
  <conditionalFormatting sqref="F100:F105">
    <cfRule type="expression" dxfId="133" priority="46" stopIfTrue="1">
      <formula>OR(ISNUMBER(H100),ISNUMBER(I100))</formula>
    </cfRule>
  </conditionalFormatting>
  <conditionalFormatting sqref="G100:G105">
    <cfRule type="expression" dxfId="132" priority="45" stopIfTrue="1">
      <formula>OR(ISNUMBER(H100),ISNUMBER(I100))</formula>
    </cfRule>
  </conditionalFormatting>
  <conditionalFormatting sqref="L100:P105">
    <cfRule type="expression" dxfId="131" priority="18" stopIfTrue="1">
      <formula>OR(L100="Father",L100="Mother")</formula>
    </cfRule>
    <cfRule type="expression" dxfId="130" priority="20" stopIfTrue="1">
      <formula>OR(L100=0,L100="")</formula>
    </cfRule>
    <cfRule type="expression" dxfId="129" priority="21" stopIfTrue="1">
      <formula>AND(NOT(L100="Father"),NOT(L100="Mother"),NOT(L100=0),NOT(L100=""))</formula>
    </cfRule>
  </conditionalFormatting>
  <conditionalFormatting sqref="L99:P99">
    <cfRule type="expression" dxfId="128" priority="19" stopIfTrue="1">
      <formula>ISNUMBER(L99)</formula>
    </cfRule>
    <cfRule type="expression" dxfId="127" priority="49" stopIfTrue="1">
      <formula>NOT(ISNUMBER(L99))</formula>
    </cfRule>
  </conditionalFormatting>
  <conditionalFormatting sqref="O48 L49:M49 O49:P49 N52 M53:N53">
    <cfRule type="expression" dxfId="126" priority="16" stopIfTrue="1">
      <formula>NOT(ISNUMBER($O$48))</formula>
    </cfRule>
  </conditionalFormatting>
  <conditionalFormatting sqref="O33 G34:K34 M34:N34 K35:M35 O35:P35">
    <cfRule type="expression" dxfId="125" priority="15" stopIfTrue="1">
      <formula>NOT(ISNUMBER($O$33))</formula>
    </cfRule>
  </conditionalFormatting>
  <conditionalFormatting sqref="C38:E38">
    <cfRule type="expression" dxfId="124" priority="12" stopIfTrue="1">
      <formula>NOT(ISNUMBER($C$38))</formula>
    </cfRule>
  </conditionalFormatting>
  <conditionalFormatting sqref="C56:E56 M56 M57:N57 L68:M68">
    <cfRule type="expression" dxfId="123" priority="11" stopIfTrue="1">
      <formula>NOT(ISNUMBER($C$56))</formula>
    </cfRule>
  </conditionalFormatting>
  <conditionalFormatting sqref="L51 O51:P51">
    <cfRule type="expression" dxfId="122" priority="10" stopIfTrue="1">
      <formula>NOT(ISNUMBER($L$51))</formula>
    </cfRule>
  </conditionalFormatting>
  <conditionalFormatting sqref="B127:K127 M127:P127">
    <cfRule type="expression" dxfId="121" priority="3" stopIfTrue="1">
      <formula>$B$127=""</formula>
    </cfRule>
  </conditionalFormatting>
  <conditionalFormatting sqref="N31">
    <cfRule type="expression" dxfId="120" priority="2" stopIfTrue="1">
      <formula>NOT(ISNUMBER($N$31))</formula>
    </cfRule>
  </conditionalFormatting>
  <conditionalFormatting sqref="B129:K129 M129:P129">
    <cfRule type="expression" dxfId="119" priority="1" stopIfTrue="1">
      <formula>$B$129=""</formula>
    </cfRule>
  </conditionalFormatting>
  <printOptions horizontalCentered="1" verticalCentered="1"/>
  <pageMargins left="0.7" right="0.45" top="0.75" bottom="0.75" header="0.5" footer="0.5"/>
  <pageSetup fitToHeight="3" orientation="portrait" r:id="rId1"/>
  <headerFooter alignWithMargins="0">
    <oddFooter>&amp;RPage &amp;P of &amp;N</oddFooter>
  </headerFooter>
  <rowBreaks count="2" manualBreakCount="2">
    <brk id="44" max="16383" man="1"/>
    <brk id="92" max="16383" man="1"/>
  </rowBreaks>
</worksheet>
</file>

<file path=xl/worksheets/sheet3.xml><?xml version="1.0" encoding="utf-8"?>
<worksheet xmlns="http://schemas.openxmlformats.org/spreadsheetml/2006/main" xmlns:r="http://schemas.openxmlformats.org/officeDocument/2006/relationships">
  <sheetPr codeName="Sheet3"/>
  <dimension ref="A1:AM188"/>
  <sheetViews>
    <sheetView workbookViewId="0"/>
  </sheetViews>
  <sheetFormatPr defaultRowHeight="12.75"/>
  <cols>
    <col min="1" max="1" width="5.7109375" style="487" customWidth="1"/>
    <col min="2" max="2" width="3.7109375" customWidth="1"/>
    <col min="3" max="5" width="5" customWidth="1"/>
    <col min="6" max="6" width="4.5703125" customWidth="1"/>
    <col min="7" max="9" width="5" customWidth="1"/>
    <col min="10" max="10" width="5.5703125" customWidth="1"/>
    <col min="11" max="11" width="4.85546875" customWidth="1"/>
    <col min="12" max="12" width="4.7109375" customWidth="1"/>
    <col min="13" max="14" width="5.28515625" customWidth="1"/>
    <col min="15" max="15" width="5" customWidth="1"/>
    <col min="16" max="16" width="5.28515625" customWidth="1"/>
    <col min="17" max="18" width="5" customWidth="1"/>
    <col min="19" max="19" width="4.28515625" customWidth="1"/>
    <col min="20" max="20" width="5" customWidth="1"/>
    <col min="21" max="21" width="83" customWidth="1"/>
    <col min="22" max="25" width="46.85546875" customWidth="1"/>
  </cols>
  <sheetData>
    <row r="1" spans="1:21">
      <c r="A1" s="510"/>
      <c r="B1" s="517"/>
      <c r="C1" s="76"/>
      <c r="D1" s="76"/>
      <c r="E1" s="76"/>
      <c r="F1" s="76"/>
      <c r="G1" s="76"/>
      <c r="H1" s="76"/>
      <c r="I1" s="76"/>
      <c r="J1" s="76"/>
      <c r="K1" s="76"/>
      <c r="L1" s="76"/>
      <c r="M1" s="76"/>
      <c r="N1" s="76"/>
      <c r="O1" s="76"/>
      <c r="P1" s="76"/>
      <c r="Q1" s="76"/>
      <c r="R1" s="76"/>
      <c r="S1" s="76"/>
      <c r="T1" s="76"/>
      <c r="U1" s="363"/>
    </row>
    <row r="2" spans="1:21" ht="15.75" customHeight="1">
      <c r="A2" s="498"/>
      <c r="B2" s="1531" t="s">
        <v>82</v>
      </c>
      <c r="C2" s="916"/>
      <c r="D2" s="916"/>
      <c r="E2" s="916"/>
      <c r="F2" s="916"/>
      <c r="G2" s="916"/>
      <c r="H2" s="916"/>
      <c r="I2" s="916"/>
      <c r="J2" s="916"/>
      <c r="K2" s="916"/>
      <c r="L2" s="916"/>
      <c r="M2" s="916"/>
      <c r="N2" s="916"/>
      <c r="O2" s="916"/>
      <c r="P2" s="916"/>
      <c r="Q2" s="916"/>
      <c r="R2" s="916"/>
      <c r="S2" s="916"/>
      <c r="T2" s="916"/>
      <c r="U2" s="363"/>
    </row>
    <row r="3" spans="1:21" ht="15.75" customHeight="1">
      <c r="A3" s="498"/>
      <c r="B3" s="1531" t="str">
        <f>County!D2&amp;" COUNTY"</f>
        <v>MARICOPA COUNTY</v>
      </c>
      <c r="C3" s="916"/>
      <c r="D3" s="916"/>
      <c r="E3" s="916"/>
      <c r="F3" s="916"/>
      <c r="G3" s="916"/>
      <c r="H3" s="916"/>
      <c r="I3" s="916"/>
      <c r="J3" s="916"/>
      <c r="K3" s="916"/>
      <c r="L3" s="916"/>
      <c r="M3" s="916"/>
      <c r="N3" s="916"/>
      <c r="O3" s="916"/>
      <c r="P3" s="916"/>
      <c r="Q3" s="916"/>
      <c r="R3" s="916"/>
      <c r="S3" s="916"/>
      <c r="T3" s="916"/>
      <c r="U3" s="363"/>
    </row>
    <row r="4" spans="1:21" ht="15" customHeight="1">
      <c r="A4" s="498"/>
      <c r="B4" s="1628"/>
      <c r="C4" s="1629"/>
      <c r="D4" s="1629"/>
      <c r="E4" s="1629"/>
      <c r="F4" s="1629"/>
      <c r="G4" s="1629"/>
      <c r="H4" s="1629"/>
      <c r="I4" s="1629"/>
      <c r="J4" s="1629"/>
      <c r="K4" s="1629"/>
      <c r="L4" s="1629"/>
      <c r="M4" s="1629"/>
      <c r="N4" s="1629"/>
      <c r="O4" s="1629"/>
      <c r="P4" s="1629"/>
      <c r="Q4" s="1629"/>
      <c r="R4" s="1629"/>
      <c r="S4" s="1629"/>
      <c r="T4" s="1629"/>
      <c r="U4" s="363"/>
    </row>
    <row r="5" spans="1:21" ht="32.25" customHeight="1">
      <c r="A5" s="498"/>
      <c r="B5" s="1622" t="str">
        <f>IF(NOT(ISBLANK(Worksheet!B34)),Worksheet!B34,"")</f>
        <v/>
      </c>
      <c r="C5" s="1623"/>
      <c r="D5" s="1623"/>
      <c r="E5" s="1623"/>
      <c r="F5" s="1623"/>
      <c r="G5" s="1623"/>
      <c r="H5" s="1623"/>
      <c r="I5" s="1623"/>
      <c r="J5" s="1623"/>
      <c r="K5" s="232" t="str">
        <f>IF(NOT(ISBLANK(Worksheet!C32)),")","")</f>
        <v/>
      </c>
      <c r="M5" s="1613" t="s">
        <v>84</v>
      </c>
      <c r="N5" s="1614"/>
      <c r="O5" s="1615" t="str">
        <f>IF(ISBLANK(Worksheet!S34),"",Worksheet!S34)</f>
        <v/>
      </c>
      <c r="P5" s="1616"/>
      <c r="Q5" s="1616"/>
      <c r="R5" s="1616"/>
      <c r="S5" s="1616"/>
      <c r="T5" s="76"/>
      <c r="U5" s="363"/>
    </row>
    <row r="6" spans="1:21" ht="18" customHeight="1">
      <c r="A6" s="498"/>
      <c r="B6" s="1636" t="str">
        <f>IF(NOT(ISBLANK(Worksheet!T10)),"("&amp;Worksheet!F12&amp;")",IF(NOT(ISBLANK(Worksheet!F12)),Worksheet!F12,""))</f>
        <v/>
      </c>
      <c r="C6" s="1637"/>
      <c r="D6" s="1637"/>
      <c r="E6" s="1637"/>
      <c r="F6" s="1637"/>
      <c r="G6" s="1637"/>
      <c r="H6" s="1637"/>
      <c r="I6" s="1637"/>
      <c r="J6" s="1637"/>
      <c r="K6" s="20" t="s">
        <v>83</v>
      </c>
      <c r="L6" s="363"/>
      <c r="M6" s="1613"/>
      <c r="N6" s="1614"/>
      <c r="O6" s="1617"/>
      <c r="P6" s="1617"/>
      <c r="Q6" s="1617"/>
      <c r="R6" s="1617"/>
      <c r="S6" s="1617"/>
      <c r="T6" s="76"/>
      <c r="U6" s="363"/>
    </row>
    <row r="7" spans="1:21" ht="15" customHeight="1">
      <c r="A7" s="498"/>
      <c r="B7" s="354"/>
      <c r="C7" s="353"/>
      <c r="D7" s="353"/>
      <c r="E7" s="353"/>
      <c r="F7" s="353"/>
      <c r="G7" s="353"/>
      <c r="H7" s="1624" t="s">
        <v>238</v>
      </c>
      <c r="I7" s="1032"/>
      <c r="J7" s="1032"/>
      <c r="K7" s="18" t="s">
        <v>83</v>
      </c>
      <c r="L7" s="1627" t="s">
        <v>109</v>
      </c>
      <c r="M7" s="916"/>
      <c r="N7" s="916"/>
      <c r="O7" s="1618" t="str">
        <f>IF(ISBLANK(Worksheet!I242),"",Worksheet!I242)</f>
        <v/>
      </c>
      <c r="P7" s="1619"/>
      <c r="Q7" s="1619"/>
      <c r="R7" s="1619"/>
      <c r="S7" s="1619"/>
      <c r="T7" s="76"/>
      <c r="U7" s="363"/>
    </row>
    <row r="8" spans="1:21" ht="15" customHeight="1">
      <c r="A8" s="498"/>
      <c r="B8" s="1023"/>
      <c r="C8" s="916"/>
      <c r="D8" s="916"/>
      <c r="E8" s="916"/>
      <c r="F8" s="916"/>
      <c r="G8" s="916"/>
      <c r="H8" s="916"/>
      <c r="I8" s="916"/>
      <c r="J8" s="916"/>
      <c r="K8" s="20" t="s">
        <v>83</v>
      </c>
      <c r="L8" s="916"/>
      <c r="M8" s="916"/>
      <c r="N8" s="916"/>
      <c r="O8" s="1620"/>
      <c r="P8" s="1620"/>
      <c r="Q8" s="1620"/>
      <c r="R8" s="1620"/>
      <c r="S8" s="1620"/>
      <c r="T8" s="76"/>
      <c r="U8" s="363"/>
    </row>
    <row r="9" spans="1:21" ht="15" customHeight="1">
      <c r="A9" s="498"/>
      <c r="B9" s="1023" t="s">
        <v>85</v>
      </c>
      <c r="C9" s="916"/>
      <c r="D9" s="916"/>
      <c r="E9" s="916"/>
      <c r="F9" s="916"/>
      <c r="G9" s="916"/>
      <c r="H9" s="916"/>
      <c r="I9" s="916"/>
      <c r="J9" s="916"/>
      <c r="K9" s="20" t="s">
        <v>83</v>
      </c>
      <c r="L9" s="363"/>
      <c r="M9" s="76"/>
      <c r="N9" s="76"/>
      <c r="O9" s="20"/>
      <c r="P9" s="76"/>
      <c r="Q9" s="76"/>
      <c r="R9" s="76"/>
      <c r="S9" s="76"/>
      <c r="T9" s="76"/>
      <c r="U9" s="363"/>
    </row>
    <row r="10" spans="1:21" ht="15" customHeight="1">
      <c r="A10" s="498"/>
      <c r="B10" s="1606" t="str">
        <f>IF(NOT(ISBLANK(Worksheet!B40)),Worksheet!B40,"")</f>
        <v/>
      </c>
      <c r="C10" s="1607"/>
      <c r="D10" s="1607"/>
      <c r="E10" s="1607"/>
      <c r="F10" s="1607"/>
      <c r="G10" s="1607"/>
      <c r="H10" s="1607"/>
      <c r="I10" s="1607"/>
      <c r="J10" s="1607"/>
      <c r="K10" s="97" t="s">
        <v>83</v>
      </c>
      <c r="L10" s="1641" t="str">
        <f>IF(Worksheet!G178="x","Paternity Judgment and",IF(NOT(ISBLANK(Worksheet!G179)),"Establishment Judgment and","Judgment and"))</f>
        <v>Paternity Judgment and</v>
      </c>
      <c r="M10" s="1642"/>
      <c r="N10" s="1642"/>
      <c r="O10" s="1642"/>
      <c r="P10" s="1642"/>
      <c r="Q10" s="1642"/>
      <c r="R10" s="1642"/>
      <c r="S10" s="1642"/>
      <c r="T10" s="20"/>
      <c r="U10" s="363"/>
    </row>
    <row r="11" spans="1:21" ht="15" customHeight="1">
      <c r="A11" s="498"/>
      <c r="B11" s="1607"/>
      <c r="C11" s="1607"/>
      <c r="D11" s="1607"/>
      <c r="E11" s="1607"/>
      <c r="F11" s="1607"/>
      <c r="G11" s="1607"/>
      <c r="H11" s="1607"/>
      <c r="I11" s="1607"/>
      <c r="J11" s="1607"/>
      <c r="K11" s="97" t="s">
        <v>83</v>
      </c>
      <c r="L11" s="1642"/>
      <c r="M11" s="1642"/>
      <c r="N11" s="1642"/>
      <c r="O11" s="1642"/>
      <c r="P11" s="1642"/>
      <c r="Q11" s="1642"/>
      <c r="R11" s="1642"/>
      <c r="S11" s="1642"/>
      <c r="T11" s="20"/>
      <c r="U11" s="363"/>
    </row>
    <row r="12" spans="1:21" ht="15" customHeight="1">
      <c r="A12" s="498"/>
      <c r="B12" s="1608"/>
      <c r="C12" s="1608"/>
      <c r="D12" s="1608"/>
      <c r="E12" s="1608"/>
      <c r="F12" s="1608"/>
      <c r="G12" s="1608"/>
      <c r="H12" s="1608"/>
      <c r="I12" s="1608"/>
      <c r="J12" s="1608"/>
      <c r="K12" s="97" t="s">
        <v>83</v>
      </c>
      <c r="L12" s="1641" t="s">
        <v>205</v>
      </c>
      <c r="M12" s="1642"/>
      <c r="N12" s="1642"/>
      <c r="O12" s="1642"/>
      <c r="P12" s="1642"/>
      <c r="Q12" s="1642"/>
      <c r="R12" s="1642"/>
      <c r="S12" s="1642"/>
      <c r="T12" s="20"/>
      <c r="U12" s="363"/>
    </row>
    <row r="13" spans="1:21" ht="15" customHeight="1">
      <c r="A13" s="498"/>
      <c r="B13" s="1625"/>
      <c r="C13" s="1032"/>
      <c r="D13" s="1032"/>
      <c r="E13" s="1032"/>
      <c r="F13" s="1032"/>
      <c r="G13" s="1032"/>
      <c r="H13" s="1624" t="s">
        <v>239</v>
      </c>
      <c r="I13" s="1032"/>
      <c r="J13" s="1032"/>
      <c r="K13" s="97" t="s">
        <v>83</v>
      </c>
      <c r="L13" s="363"/>
      <c r="M13" s="76"/>
      <c r="N13" s="76"/>
      <c r="O13" s="97"/>
      <c r="P13" s="20"/>
      <c r="Q13" s="20"/>
      <c r="R13" s="20"/>
      <c r="S13" s="20"/>
      <c r="T13" s="20"/>
      <c r="U13" s="363"/>
    </row>
    <row r="14" spans="1:21" ht="15" customHeight="1">
      <c r="A14" s="498"/>
      <c r="B14" s="1626"/>
      <c r="C14" s="1046"/>
      <c r="D14" s="1046"/>
      <c r="E14" s="1046"/>
      <c r="F14" s="1046"/>
      <c r="G14" s="1046"/>
      <c r="H14" s="1046"/>
      <c r="I14" s="1046"/>
      <c r="J14" s="1046"/>
      <c r="K14" s="97" t="s">
        <v>83</v>
      </c>
      <c r="M14" s="76"/>
      <c r="N14" s="76"/>
      <c r="O14" s="97"/>
      <c r="P14" s="20"/>
      <c r="Q14" s="20"/>
      <c r="R14" s="20"/>
      <c r="S14" s="20"/>
      <c r="T14" s="20"/>
      <c r="U14" s="363"/>
    </row>
    <row r="15" spans="1:21" ht="35.25" customHeight="1">
      <c r="A15" s="498"/>
      <c r="B15" s="1609" t="str">
        <f>IF(Worksheet!G181="x","          Having considered the evidence presented at a default hearing in this matter,",IF(NOT(ISBLANK(Worksheet!G182)),"          Having considered the evidence presented at an evidentiary hearing in this matter,",IF(NOT(ISBLANK(Worksheet!E171)),"          Having considered a Stipulation presented by the parties in this matter,",IF(NOT(ISBLANK(Worksheet!G183)),"          Having received a request to establish child support pursuant to A.R.S. §25-502(J), and no timely request for hearing having been filed by any party,","          This matter having come before the court,"))))</f>
        <v xml:space="preserve">          Having considered the evidence presented at a default hearing in this matter,</v>
      </c>
      <c r="C15" s="1609"/>
      <c r="D15" s="1609"/>
      <c r="E15" s="1609"/>
      <c r="F15" s="1609"/>
      <c r="G15" s="1609"/>
      <c r="H15" s="1609"/>
      <c r="I15" s="1609"/>
      <c r="J15" s="1609"/>
      <c r="K15" s="1609"/>
      <c r="L15" s="1609"/>
      <c r="M15" s="1609"/>
      <c r="N15" s="1609"/>
      <c r="O15" s="1609"/>
      <c r="P15" s="1609"/>
      <c r="Q15" s="1609"/>
      <c r="R15" s="1609"/>
      <c r="S15" s="1609"/>
      <c r="T15" s="1610"/>
      <c r="U15" s="363"/>
    </row>
    <row r="16" spans="1:21" ht="15.75" customHeight="1">
      <c r="A16" s="498"/>
      <c r="B16" s="1539" t="s">
        <v>110</v>
      </c>
      <c r="C16" s="1539"/>
      <c r="D16" s="1544"/>
      <c r="E16" s="1544"/>
      <c r="F16" s="1544"/>
      <c r="G16" s="1544"/>
      <c r="H16" s="1544"/>
      <c r="I16" s="1544"/>
      <c r="J16" s="1544"/>
      <c r="K16" s="1544"/>
      <c r="L16" s="1544"/>
      <c r="M16" s="1544"/>
      <c r="N16" s="1544"/>
      <c r="O16" s="1544"/>
      <c r="P16" s="1544"/>
      <c r="Q16" s="1544"/>
      <c r="R16" s="1544"/>
      <c r="S16" s="1544"/>
      <c r="T16" s="1544"/>
      <c r="U16" s="363"/>
    </row>
    <row r="17" spans="1:21" ht="10.5" customHeight="1">
      <c r="A17" s="498"/>
      <c r="B17" s="93"/>
      <c r="C17" s="93"/>
      <c r="D17" s="91"/>
      <c r="E17" s="91"/>
      <c r="F17" s="91"/>
      <c r="G17" s="91"/>
      <c r="H17" s="91"/>
      <c r="I17" s="91"/>
      <c r="J17" s="91"/>
      <c r="K17" s="91"/>
      <c r="L17" s="91"/>
      <c r="M17" s="91"/>
      <c r="N17" s="91"/>
      <c r="O17" s="91"/>
      <c r="P17" s="91"/>
      <c r="Q17" s="91"/>
      <c r="R17" s="91"/>
      <c r="S17" s="91"/>
      <c r="T17" s="91"/>
      <c r="U17" s="363"/>
    </row>
    <row r="18" spans="1:21" ht="25.5" customHeight="1">
      <c r="A18" s="498"/>
      <c r="B18" s="264" t="s">
        <v>111</v>
      </c>
      <c r="C18" s="1621" t="s">
        <v>226</v>
      </c>
      <c r="D18" s="1521"/>
      <c r="E18" s="1521"/>
      <c r="F18" s="1521"/>
      <c r="G18" s="1521"/>
      <c r="H18" s="1521"/>
      <c r="I18" s="1521"/>
      <c r="J18" s="1521"/>
      <c r="K18" s="1521"/>
      <c r="L18" s="1521"/>
      <c r="M18" s="1521"/>
      <c r="N18" s="1521"/>
      <c r="O18" s="1521"/>
      <c r="P18" s="1521"/>
      <c r="Q18" s="1521"/>
      <c r="R18" s="1521"/>
      <c r="S18" s="1521"/>
      <c r="T18" s="1521"/>
      <c r="U18" s="363"/>
    </row>
    <row r="19" spans="1:21">
      <c r="A19" s="498"/>
      <c r="B19" s="264"/>
      <c r="C19" s="264"/>
      <c r="D19" s="76"/>
      <c r="E19" s="76"/>
      <c r="F19" s="76"/>
      <c r="G19" s="76"/>
      <c r="H19" s="76"/>
      <c r="I19" s="76"/>
      <c r="J19" s="76"/>
      <c r="K19" s="265"/>
      <c r="L19" s="265"/>
      <c r="M19" s="265"/>
      <c r="N19" s="76"/>
      <c r="O19" s="76"/>
      <c r="P19" s="76"/>
      <c r="Q19" s="76"/>
      <c r="R19" s="76"/>
      <c r="S19" s="76"/>
      <c r="T19" s="76"/>
      <c r="U19" s="363"/>
    </row>
    <row r="20" spans="1:21" ht="31.5" customHeight="1">
      <c r="A20" s="498"/>
      <c r="B20" s="266" t="s">
        <v>114</v>
      </c>
      <c r="C20" s="1621" t="str">
        <f>IF(AND(Worksheet!U44=1,NOT(ISBLANK(Worksheet!F12)),NOT(ISBLANK(Worksheet!T12))),Worksheet!F12&amp;" (hereafter called 'Father') and "&amp;Worksheet!F14&amp;" (hereafter called 'Mother'), owe a duty to support the following child:",IF(AND(Worksheet!U44=1,Worksheet!X12="x",NOT(ISBLANK(Worksheet!F12))),Worksheet!F14&amp;" (hereafter called 'Father') and "&amp;Worksheet!F12&amp;" (hereafter called 'Mother'), owe a duty to support the following child:",IF(AND(Worksheet!U44&gt;1,NOT(ISBLANK(Worksheet!F12)),NOT(ISBLANK(Worksheet!T12))),Worksheet!F12&amp;" (hereafter called 'Father') and "&amp;Worksheet!F14&amp;" (hereafter called 'Mother'), owe a duty to support the following children:",IF(AND(Worksheet!U44&gt;1,Worksheet!X12="x",NOT(ISBLANK(Worksheet!F12))),Worksheet!F14&amp;" (hereafter called 'Father') and "&amp;Worksheet!F12&amp;" (hereafter called 'Mother'), owe a duty to support the following children:",IF(ISBLANK(Worksheet!F12),"_________________ and _______________ owe a duty to support the following child(ren):",Worksheet!F12&amp;" and "&amp;Worksheet!F14&amp;" owe a duty to support the following children:")))))</f>
        <v>_________________ and _______________ owe a duty to support the following child(ren):</v>
      </c>
      <c r="D20" s="1153"/>
      <c r="E20" s="1153"/>
      <c r="F20" s="1153"/>
      <c r="G20" s="1153"/>
      <c r="H20" s="1153"/>
      <c r="I20" s="1153"/>
      <c r="J20" s="1153"/>
      <c r="K20" s="1153"/>
      <c r="L20" s="1153"/>
      <c r="M20" s="1153"/>
      <c r="N20" s="1153"/>
      <c r="O20" s="1153"/>
      <c r="P20" s="1153"/>
      <c r="Q20" s="1153"/>
      <c r="R20" s="1153"/>
      <c r="S20" s="1153"/>
      <c r="T20" s="76"/>
      <c r="U20" s="363"/>
    </row>
    <row r="21" spans="1:21" ht="12.75" customHeight="1">
      <c r="A21" s="498"/>
      <c r="B21" s="266"/>
      <c r="C21" s="266"/>
      <c r="D21" s="76"/>
      <c r="E21" s="1630" t="s">
        <v>112</v>
      </c>
      <c r="F21" s="1631"/>
      <c r="G21" s="1631"/>
      <c r="H21" s="1631"/>
      <c r="I21" s="1631"/>
      <c r="J21" s="422"/>
      <c r="K21" s="1638" t="str">
        <f>IF(OR(AND(ISBLANK(Worksheet!M18),ISNUMBER(Worksheet!S18)),AND(ISBLANK(Worksheet!M19),ISNUMBER(Worksheet!S19)),AND(ISBLANK(Worksheet!M20),ISNUMBER(Worksheet!S20)),AND(ISBLANK(Worksheet!M21),ISNUMBER(Worksheet!S21)),AND(ISBLANK(Worksheet!M22),ISNUMBER(Worksheet!S22)),AND(ISBLANK(Worksheet!M23),ISNUMBER(Worksheet!S23))),"Age","")</f>
        <v/>
      </c>
      <c r="L21" s="1639"/>
      <c r="M21" s="1640" t="s">
        <v>113</v>
      </c>
      <c r="N21" s="1448"/>
      <c r="O21" s="1448"/>
      <c r="P21" s="1448"/>
      <c r="Q21" s="320" t="str">
        <f>IF(OR(AND(ISBLANK(Worksheet!P39),ISNUMBER(Worksheet!P41)),AND(ISBLANK(Worksheet!R39),ISNUMBER(Worksheet!R41)),AND(ISBLANK(Worksheet!T39),ISNUMBER(Worksheet!T41)),AND(ISBLANK(Worksheet!V39),ISNUMBER(Worksheet!V41)),AND(ISBLANK(Worksheet!X39),ISNUMBER(Worksheet!X41)),AND(ISBLANK(Worksheet!Z39),ISNUMBER(Worksheet!Z41))),"Age","")</f>
        <v/>
      </c>
      <c r="R21" s="320"/>
      <c r="S21" s="268"/>
      <c r="T21" s="76"/>
      <c r="U21" s="363"/>
    </row>
    <row r="22" spans="1:21">
      <c r="A22" s="498"/>
      <c r="B22" s="266"/>
      <c r="C22" s="266"/>
      <c r="D22" s="76"/>
      <c r="E22" s="1547" t="str">
        <f>IF(NOT(ISBLANK(Worksheet!F18)),Worksheet!F18,"")</f>
        <v/>
      </c>
      <c r="F22" s="1547"/>
      <c r="G22" s="1547"/>
      <c r="H22" s="1547"/>
      <c r="I22" s="1547"/>
      <c r="J22" s="265"/>
      <c r="K22" s="1578" t="str">
        <f>IF(AND(ISBLANK(Worksheet!M18),ISNUMBER(Worksheet!S18)),Worksheet!S18,"")</f>
        <v/>
      </c>
      <c r="L22" s="916"/>
      <c r="M22" s="1559" t="str">
        <f>IF(ISBLANK(Worksheet!M18),"",Worksheet!M18)</f>
        <v/>
      </c>
      <c r="N22" s="1559"/>
      <c r="O22" s="1571"/>
      <c r="P22" s="1572"/>
      <c r="Q22" s="545" t="str">
        <f>IF(AND(ISBLANK(Worksheet!P39),ISNUMBER(Worksheet!P41)),Worksheet!P41,"")</f>
        <v/>
      </c>
      <c r="R22" s="545"/>
      <c r="S22" s="268"/>
      <c r="T22" s="76"/>
      <c r="U22" s="363"/>
    </row>
    <row r="23" spans="1:21">
      <c r="A23" s="498"/>
      <c r="B23" s="266"/>
      <c r="C23" s="266"/>
      <c r="D23" s="76"/>
      <c r="E23" s="1573" t="str">
        <f>IF(NOT(ISBLANK(Worksheet!F19)),Worksheet!F19,"")</f>
        <v/>
      </c>
      <c r="F23" s="1573"/>
      <c r="G23" s="1573"/>
      <c r="H23" s="1573"/>
      <c r="I23" s="1573"/>
      <c r="J23" s="265"/>
      <c r="K23" s="1578" t="str">
        <f>IF(AND(ISBLANK(Worksheet!M19),ISNUMBER(Worksheet!S19)),Worksheet!S19,"")</f>
        <v/>
      </c>
      <c r="L23" s="916"/>
      <c r="M23" s="1559" t="str">
        <f>IF(ISBLANK(Worksheet!M19),"",Worksheet!M19)</f>
        <v/>
      </c>
      <c r="N23" s="1559"/>
      <c r="O23" s="1571"/>
      <c r="P23" s="1572"/>
      <c r="Q23" s="545" t="str">
        <f>IF(AND(ISBLANK(Worksheet!R39),ISNUMBER(Worksheet!R41)),Worksheet!R41,"")</f>
        <v/>
      </c>
      <c r="R23" s="545"/>
      <c r="S23" s="268"/>
      <c r="T23" s="76"/>
      <c r="U23" s="363"/>
    </row>
    <row r="24" spans="1:21">
      <c r="A24" s="498"/>
      <c r="B24" s="266"/>
      <c r="C24" s="266"/>
      <c r="D24" s="76"/>
      <c r="E24" s="1573" t="str">
        <f>IF(NOT(ISBLANK(Worksheet!F20)),Worksheet!F20,"")</f>
        <v/>
      </c>
      <c r="F24" s="1573"/>
      <c r="G24" s="1573"/>
      <c r="H24" s="1573"/>
      <c r="I24" s="1573"/>
      <c r="J24" s="265"/>
      <c r="K24" s="1578" t="str">
        <f>IF(AND(ISBLANK(Worksheet!M20),ISNUMBER(Worksheet!S20)),Worksheet!S20,"")</f>
        <v/>
      </c>
      <c r="L24" s="916"/>
      <c r="M24" s="1559" t="str">
        <f>IF(ISBLANK(Worksheet!M20),"",Worksheet!M20)</f>
        <v/>
      </c>
      <c r="N24" s="1559"/>
      <c r="O24" s="1571"/>
      <c r="P24" s="1572"/>
      <c r="Q24" s="545" t="str">
        <f>IF(AND(ISBLANK(Worksheet!T39),ISNUMBER(Worksheet!T41)),Worksheet!T41,"")</f>
        <v/>
      </c>
      <c r="R24" s="545"/>
      <c r="S24" s="268"/>
      <c r="T24" s="76"/>
      <c r="U24" s="363"/>
    </row>
    <row r="25" spans="1:21">
      <c r="A25" s="498"/>
      <c r="B25" s="266"/>
      <c r="C25" s="266"/>
      <c r="D25" s="76"/>
      <c r="E25" s="1573" t="str">
        <f>IF(NOT(ISBLANK(Worksheet!F21)),Worksheet!F21,"")</f>
        <v/>
      </c>
      <c r="F25" s="1573"/>
      <c r="G25" s="1573"/>
      <c r="H25" s="1573"/>
      <c r="I25" s="1573"/>
      <c r="J25" s="265"/>
      <c r="K25" s="1578" t="str">
        <f>IF(AND(ISBLANK(Worksheet!M21),ISNUMBER(Worksheet!S21)),Worksheet!S21,"")</f>
        <v/>
      </c>
      <c r="L25" s="916"/>
      <c r="M25" s="1559" t="str">
        <f>IF(ISBLANK(Worksheet!M21),"",Worksheet!M21)</f>
        <v/>
      </c>
      <c r="N25" s="1559"/>
      <c r="O25" s="1571"/>
      <c r="P25" s="1572"/>
      <c r="Q25" s="545" t="str">
        <f>IF(AND(ISBLANK(Worksheet!V39),ISNUMBER(Worksheet!V41)),Worksheet!V41,"")</f>
        <v/>
      </c>
      <c r="R25" s="545"/>
      <c r="S25" s="268"/>
      <c r="T25" s="76"/>
      <c r="U25" s="363"/>
    </row>
    <row r="26" spans="1:21">
      <c r="A26" s="498"/>
      <c r="B26" s="266"/>
      <c r="C26" s="266"/>
      <c r="D26" s="76"/>
      <c r="E26" s="1573" t="str">
        <f>IF(NOT(ISBLANK(Worksheet!F22)),Worksheet!F22,"")</f>
        <v/>
      </c>
      <c r="F26" s="1573"/>
      <c r="G26" s="1573"/>
      <c r="H26" s="1573"/>
      <c r="I26" s="1573"/>
      <c r="J26" s="265"/>
      <c r="K26" s="1578" t="str">
        <f>IF(AND(ISBLANK(Worksheet!M22),ISNUMBER(Worksheet!S22)),Worksheet!S22,"")</f>
        <v/>
      </c>
      <c r="L26" s="916"/>
      <c r="M26" s="1559" t="str">
        <f>IF(ISBLANK(Worksheet!M22),"",Worksheet!M22)</f>
        <v/>
      </c>
      <c r="N26" s="1559"/>
      <c r="O26" s="1571"/>
      <c r="P26" s="1572"/>
      <c r="Q26" s="545" t="str">
        <f>IF(AND(ISBLANK(Worksheet!X39),ISNUMBER(Worksheet!X41)),Worksheet!X41,"")</f>
        <v/>
      </c>
      <c r="R26" s="545"/>
      <c r="S26" s="268"/>
      <c r="T26" s="76"/>
      <c r="U26" s="363"/>
    </row>
    <row r="27" spans="1:21">
      <c r="A27" s="498"/>
      <c r="B27" s="266"/>
      <c r="C27" s="266"/>
      <c r="D27" s="76"/>
      <c r="E27" s="1573" t="str">
        <f>IF(NOT(ISBLANK(Worksheet!F23)),Worksheet!F23,"")</f>
        <v/>
      </c>
      <c r="F27" s="1573"/>
      <c r="G27" s="1573"/>
      <c r="H27" s="1573"/>
      <c r="I27" s="1573"/>
      <c r="J27" s="265"/>
      <c r="K27" s="1578" t="str">
        <f>IF(AND(ISBLANK(Worksheet!M23),ISNUMBER(Worksheet!S23)),Worksheet!S23,"")</f>
        <v/>
      </c>
      <c r="L27" s="916"/>
      <c r="M27" s="1559" t="str">
        <f>IF(ISBLANK(Worksheet!M23),"",Worksheet!M23)</f>
        <v/>
      </c>
      <c r="N27" s="1559"/>
      <c r="O27" s="1571"/>
      <c r="P27" s="1572"/>
      <c r="Q27" s="545" t="str">
        <f>IF(AND(ISBLANK(Worksheet!Z39),ISNUMBER(Worksheet!Z41)),Worksheet!Z41,"")</f>
        <v/>
      </c>
      <c r="R27" s="545"/>
      <c r="S27" s="268"/>
      <c r="T27" s="76"/>
      <c r="U27" s="363"/>
    </row>
    <row r="28" spans="1:21">
      <c r="A28" s="498"/>
      <c r="B28" s="269"/>
      <c r="C28" s="269"/>
      <c r="D28" s="267"/>
      <c r="E28" s="267"/>
      <c r="F28" s="267"/>
      <c r="G28" s="267"/>
      <c r="H28" s="267"/>
      <c r="I28" s="267"/>
      <c r="J28" s="267"/>
      <c r="K28" s="267"/>
      <c r="L28" s="267"/>
      <c r="M28" s="267"/>
      <c r="N28" s="76"/>
      <c r="O28" s="76"/>
      <c r="P28" s="76"/>
      <c r="Q28" s="76"/>
      <c r="R28" s="76"/>
      <c r="S28" s="76"/>
      <c r="T28" s="76"/>
      <c r="U28" s="363"/>
    </row>
    <row r="29" spans="1:21">
      <c r="A29" s="498"/>
      <c r="B29" s="266" t="s">
        <v>115</v>
      </c>
      <c r="C29" s="1492" t="s">
        <v>362</v>
      </c>
      <c r="D29" s="916"/>
      <c r="E29" s="916"/>
      <c r="F29" s="1532" t="str">
        <f>IF(Worksheet!U44=1,"The natural mother of this child is",IF(Worksheet!U44&gt;1,"The natural mother of these "&amp;Worksheet!U44&amp;" children is","The natural mother of these children is"))</f>
        <v>The natural mother of these  children is</v>
      </c>
      <c r="G29" s="916"/>
      <c r="H29" s="916"/>
      <c r="I29" s="916"/>
      <c r="J29" s="916"/>
      <c r="K29" s="916"/>
      <c r="L29" s="916"/>
      <c r="M29" s="1635" t="str">
        <f>IF(NOT(ISBLANK(Worksheet!E185)),Worksheet!E185,"")</f>
        <v/>
      </c>
      <c r="N29" s="1548"/>
      <c r="O29" s="1548"/>
      <c r="P29" s="1548"/>
      <c r="Q29" s="1548"/>
      <c r="R29" s="1548"/>
      <c r="S29" s="76"/>
      <c r="T29" s="76"/>
      <c r="U29" s="363"/>
    </row>
    <row r="30" spans="1:21">
      <c r="A30" s="498"/>
      <c r="B30" s="266"/>
      <c r="C30" s="1500" t="s">
        <v>220</v>
      </c>
      <c r="D30" s="1500"/>
      <c r="E30" s="1500"/>
      <c r="F30" s="1500"/>
      <c r="G30" s="1579" t="str">
        <f>IF(NOT(ISBLANK(Worksheet!Q185)),Worksheet!Q185,"unknown.")</f>
        <v>unknown.</v>
      </c>
      <c r="H30" s="1580"/>
      <c r="I30" s="1580"/>
      <c r="J30" s="1580"/>
      <c r="K30" s="1580"/>
      <c r="L30" s="271"/>
      <c r="M30" s="76"/>
      <c r="N30" s="76"/>
      <c r="O30" s="76"/>
      <c r="P30" s="76"/>
      <c r="Q30" s="76"/>
      <c r="R30" s="76"/>
      <c r="S30" s="76"/>
      <c r="T30" s="91"/>
      <c r="U30" s="363"/>
    </row>
    <row r="31" spans="1:21">
      <c r="A31" s="498"/>
      <c r="B31" s="269"/>
      <c r="C31" s="269"/>
      <c r="D31" s="267"/>
      <c r="E31" s="267"/>
      <c r="F31" s="267"/>
      <c r="G31" s="267"/>
      <c r="H31" s="267"/>
      <c r="I31" s="267"/>
      <c r="J31" s="267"/>
      <c r="K31" s="267"/>
      <c r="L31" s="117"/>
      <c r="M31" s="117"/>
      <c r="N31" s="117"/>
      <c r="O31" s="117"/>
      <c r="P31" s="117"/>
      <c r="Q31" s="117"/>
      <c r="R31" s="267"/>
      <c r="S31" s="267"/>
      <c r="T31" s="267"/>
      <c r="U31" s="363"/>
    </row>
    <row r="32" spans="1:21" ht="12.75" customHeight="1">
      <c r="A32" s="498"/>
      <c r="B32" s="266" t="s">
        <v>116</v>
      </c>
      <c r="C32" s="270" t="s">
        <v>221</v>
      </c>
      <c r="D32" s="76"/>
      <c r="E32" s="1532" t="str">
        <f>IF(Worksheet!U44=1,"The natural father of the above-named child is",IF(Worksheet!U44=2,"The natural father of both of these children is",IF(Worksheet!U44&gt;2,"The natural father of all of these "&amp;Worksheet!U44&amp;" children is","The natural father of all of these children is")))</f>
        <v>The natural father of all of these  children is</v>
      </c>
      <c r="F32" s="1632"/>
      <c r="G32" s="1632"/>
      <c r="H32" s="1632"/>
      <c r="I32" s="1632"/>
      <c r="J32" s="1632"/>
      <c r="K32" s="1632"/>
      <c r="L32" s="1632"/>
      <c r="M32" s="1633" t="str">
        <f>IF(NOT(ISBLANK(Worksheet!J188)),Worksheet!J188,"")</f>
        <v/>
      </c>
      <c r="N32" s="1633"/>
      <c r="O32" s="1633"/>
      <c r="P32" s="1633"/>
      <c r="Q32" s="1633"/>
      <c r="R32" s="1633"/>
      <c r="S32" s="91"/>
      <c r="T32" s="91"/>
      <c r="U32" s="363"/>
    </row>
    <row r="33" spans="1:38" ht="12.75" customHeight="1">
      <c r="A33" s="498"/>
      <c r="B33" s="266"/>
      <c r="C33" s="1500" t="s">
        <v>222</v>
      </c>
      <c r="D33" s="1500"/>
      <c r="E33" s="1500"/>
      <c r="F33" s="1500"/>
      <c r="G33" s="1579" t="str">
        <f>IF(NOT(ISBLANK(Worksheet!U188)),Worksheet!U188,"unknown.")</f>
        <v>unknown.</v>
      </c>
      <c r="H33" s="1580"/>
      <c r="I33" s="1580"/>
      <c r="J33" s="1580"/>
      <c r="K33" s="1544" t="str">
        <f>IF(OR(NOT(ISBLANK(Worksheet!G190)),NOT(ISBLANK(Worksheet!G191)),NOT(ISBLANK(Worksheet!G192))),"The natural father's paternity was previously established","")</f>
        <v/>
      </c>
      <c r="L33" s="1500"/>
      <c r="M33" s="1500"/>
      <c r="N33" s="1500"/>
      <c r="O33" s="1500"/>
      <c r="P33" s="1500"/>
      <c r="Q33" s="1500"/>
      <c r="R33" s="1500"/>
      <c r="S33" s="1500"/>
      <c r="T33" s="1500"/>
      <c r="U33" s="363"/>
    </row>
    <row r="34" spans="1:38" ht="12.75" customHeight="1">
      <c r="A34" s="498"/>
      <c r="B34" s="266"/>
      <c r="C34" s="1544" t="str">
        <f>IF(NOT(ISBLANK(Worksheet!G190)),"pursuant to a court order.",IF(NOT(ISBLANK(Worksheet!G191)),"pursuant to a valid acknowledgment of paternity filed with the Clerk of the Superior Court.",IF(NOT(ISBLANK(Worksheet!G192)),"pursuant to a valid acknowledgment of paternity filed with the Arizona Department of Economic Security.","")))</f>
        <v/>
      </c>
      <c r="D34" s="1500"/>
      <c r="E34" s="1500"/>
      <c r="F34" s="1500"/>
      <c r="G34" s="1500"/>
      <c r="H34" s="1500"/>
      <c r="I34" s="1500"/>
      <c r="J34" s="1500"/>
      <c r="K34" s="1500"/>
      <c r="L34" s="1500"/>
      <c r="M34" s="1500"/>
      <c r="N34" s="1500"/>
      <c r="O34" s="1500"/>
      <c r="P34" s="1500"/>
      <c r="Q34" s="1500"/>
      <c r="R34" s="1500"/>
      <c r="S34" s="1500"/>
      <c r="T34" s="1500"/>
      <c r="U34" s="363"/>
    </row>
    <row r="35" spans="1:38">
      <c r="A35" s="498"/>
      <c r="B35" s="266"/>
      <c r="C35" s="266"/>
      <c r="D35" s="91"/>
      <c r="E35" s="91"/>
      <c r="F35" s="91"/>
      <c r="G35" s="91"/>
      <c r="H35" s="91"/>
      <c r="I35" s="91"/>
      <c r="J35" s="91"/>
      <c r="K35" s="91"/>
      <c r="L35" s="109"/>
      <c r="M35" s="109"/>
      <c r="N35" s="109"/>
      <c r="O35" s="109"/>
      <c r="P35" s="109"/>
      <c r="Q35" s="109"/>
      <c r="R35" s="109"/>
      <c r="S35" s="109"/>
      <c r="T35" s="109"/>
      <c r="U35" s="363"/>
    </row>
    <row r="36" spans="1:38" ht="12.75" customHeight="1">
      <c r="A36" s="498"/>
      <c r="B36" s="266" t="s">
        <v>117</v>
      </c>
      <c r="C36" s="1539" t="s">
        <v>223</v>
      </c>
      <c r="D36" s="1024"/>
      <c r="E36" s="1024"/>
      <c r="F36" s="1024"/>
      <c r="G36" s="1587" t="str">
        <f>IF(AND(OR(NOT(ISBLANK(Worksheet!G196)),NOT(ISBLANK(Worksheet!G197)),NOT(ISBLANK(Worksheet!J194))),Worksheet!U44=1),"The presumptive father of the minor child is",IF(AND(OR(NOT(ISBLANK(Worksheet!G196)),NOT(ISBLANK(Worksheet!G197)),NOT(ISBLANK(Worksheet!J194))),Worksheet!U44&gt;1),"The presumptive father of the minor children is","There is no presumptive father in this case."))</f>
        <v>There is no presumptive father in this case.</v>
      </c>
      <c r="H36" s="1521"/>
      <c r="I36" s="1521"/>
      <c r="J36" s="1521"/>
      <c r="K36" s="1521"/>
      <c r="L36" s="1521"/>
      <c r="M36" s="1521"/>
      <c r="N36" s="1521"/>
      <c r="O36" s="1634" t="str">
        <f>IF(OR(NOT(ISBLANK(Worksheet!G196)),NOT(ISBLANK(Worksheet!G197)),NOT(ISBLANK(Worksheet!J194))),Worksheet!J194&amp;".","")</f>
        <v/>
      </c>
      <c r="P36" s="1634"/>
      <c r="Q36" s="1634"/>
      <c r="R36" s="1634"/>
      <c r="S36" s="1634"/>
      <c r="T36" s="1634"/>
      <c r="U36" s="363"/>
    </row>
    <row r="37" spans="1:38" ht="39.75" customHeight="1">
      <c r="A37" s="498"/>
      <c r="B37" s="266"/>
      <c r="C37" s="1581" t="str">
        <f>IF(AND(NOT(ISBLANK(Worksheet!G196)),Worksheet!U44=1),Paragraphs!B2,IF(AND(NOT(ISBLANK(Worksheet!G196)),Worksheet!U44&gt;1),Paragraphs!B3,IF(AND(NOT(ISBLANK(Worksheet!G197)),Worksheet!U44=1),Paragraphs!B4,IF(AND(NOT(ISBLANK(Worksheet!G197)),Worksheet!U44&gt;1),Paragraphs!B5,""))))</f>
        <v/>
      </c>
      <c r="D37" s="1582"/>
      <c r="E37" s="1582"/>
      <c r="F37" s="1582"/>
      <c r="G37" s="1582"/>
      <c r="H37" s="1582"/>
      <c r="I37" s="1582"/>
      <c r="J37" s="1582"/>
      <c r="K37" s="1582"/>
      <c r="L37" s="1582"/>
      <c r="M37" s="1582"/>
      <c r="N37" s="1582"/>
      <c r="O37" s="1582"/>
      <c r="P37" s="1582"/>
      <c r="Q37" s="1582"/>
      <c r="R37" s="1582"/>
      <c r="S37" s="1582"/>
      <c r="T37" s="1582"/>
      <c r="U37" s="363"/>
    </row>
    <row r="38" spans="1:38" ht="11.25" customHeight="1">
      <c r="A38" s="498"/>
      <c r="B38" s="266"/>
      <c r="C38" s="1574"/>
      <c r="D38" s="1500"/>
      <c r="E38" s="1500"/>
      <c r="F38" s="1500"/>
      <c r="G38" s="1500"/>
      <c r="H38" s="1500"/>
      <c r="I38" s="1500"/>
      <c r="J38" s="1500"/>
      <c r="K38" s="1500"/>
      <c r="L38" s="1500"/>
      <c r="M38" s="1500"/>
      <c r="N38" s="1500"/>
      <c r="O38" s="1500"/>
      <c r="P38" s="1500"/>
      <c r="Q38" s="1500"/>
      <c r="R38" s="1500"/>
      <c r="S38" s="1500"/>
      <c r="T38" s="1500"/>
      <c r="U38" s="363"/>
    </row>
    <row r="39" spans="1:38">
      <c r="A39" s="498"/>
      <c r="B39" s="266" t="s">
        <v>119</v>
      </c>
      <c r="C39" s="1583" t="s">
        <v>636</v>
      </c>
      <c r="D39" s="916"/>
      <c r="E39" s="916"/>
      <c r="F39" s="916"/>
      <c r="G39" s="916"/>
      <c r="H39" s="1500" t="str">
        <f>IF(OR(Worksheet!G199="x",NOT(ISBLANK(Worksheet!G200)),NOT(ISBLANK(Worksheet!G201)),NOT(ISBLANK(Worksheet!G202))),VLOOKUP(Paragraphs!A12,Paragraphs!A17:'Paragraphs'!B96,2,FALSE),"There is no custody order for the minor ")</f>
        <v xml:space="preserve">There is no legal decision-making or parenting time order for the minor </v>
      </c>
      <c r="I39" s="1448"/>
      <c r="J39" s="1448"/>
      <c r="K39" s="1448"/>
      <c r="L39" s="1448"/>
      <c r="M39" s="1448"/>
      <c r="N39" s="1448"/>
      <c r="O39" s="1448"/>
      <c r="P39" s="1448"/>
      <c r="Q39" s="1448"/>
      <c r="R39" s="1448"/>
      <c r="S39" s="1448"/>
      <c r="T39" s="1448"/>
      <c r="U39" s="363"/>
    </row>
    <row r="40" spans="1:38" ht="53.25" customHeight="1">
      <c r="A40" s="498"/>
      <c r="B40" s="266"/>
      <c r="C40" s="1446" t="str">
        <f>IF(OR(Worksheet!G199="x",NOT(ISBLANK(Worksheet!G200)),NOT(ISBLANK(Worksheet!G201)),NOT(ISBLANK(Worksheet!G202))),VLOOKUP(Paragraphs!A13,Paragraphs!A17:'Paragraphs'!B96,2,FALSE),"child[ren] but the minor child[ren] currently reside with obligee.")</f>
        <v>child[ren] but the minor child[ren] currently reside[s] with obligee.</v>
      </c>
      <c r="D40" s="1446"/>
      <c r="E40" s="1446"/>
      <c r="F40" s="1446"/>
      <c r="G40" s="1446"/>
      <c r="H40" s="1446"/>
      <c r="I40" s="1446"/>
      <c r="J40" s="1446"/>
      <c r="K40" s="1446"/>
      <c r="L40" s="1446"/>
      <c r="M40" s="1446"/>
      <c r="N40" s="1446"/>
      <c r="O40" s="1446"/>
      <c r="P40" s="1446"/>
      <c r="Q40" s="1446"/>
      <c r="R40" s="1446"/>
      <c r="S40" s="1446"/>
      <c r="T40" s="543"/>
      <c r="U40" s="625"/>
      <c r="V40" s="109"/>
      <c r="W40" s="109"/>
      <c r="X40" s="109"/>
      <c r="Y40" s="109"/>
      <c r="Z40" s="109"/>
      <c r="AA40" s="109"/>
      <c r="AB40" s="109"/>
      <c r="AC40" s="109"/>
      <c r="AD40" s="109"/>
      <c r="AE40" s="109"/>
      <c r="AF40" s="109"/>
      <c r="AG40" s="109"/>
      <c r="AH40" s="109"/>
      <c r="AI40" s="109"/>
      <c r="AJ40" s="109"/>
      <c r="AK40" s="109"/>
      <c r="AL40" s="109"/>
    </row>
    <row r="41" spans="1:38">
      <c r="A41" s="496"/>
      <c r="B41" s="518"/>
      <c r="C41" s="311"/>
      <c r="D41" s="272"/>
      <c r="E41" s="272"/>
      <c r="F41" s="272"/>
      <c r="G41" s="272"/>
      <c r="H41" s="272"/>
      <c r="I41" s="272"/>
      <c r="J41" s="272"/>
      <c r="K41" s="272"/>
      <c r="L41" s="272"/>
      <c r="M41" s="272"/>
      <c r="N41" s="272"/>
      <c r="O41" s="1575" t="s">
        <v>84</v>
      </c>
      <c r="P41" s="1500"/>
      <c r="Q41" s="1576" t="str">
        <f>O5</f>
        <v/>
      </c>
      <c r="R41" s="1577"/>
      <c r="S41" s="1577"/>
      <c r="T41" s="1577"/>
      <c r="U41" s="363"/>
    </row>
    <row r="42" spans="1:38">
      <c r="A42" s="496"/>
      <c r="B42" s="266"/>
      <c r="C42" s="266"/>
      <c r="D42" s="272"/>
      <c r="E42" s="272"/>
      <c r="F42" s="272"/>
      <c r="G42" s="272"/>
      <c r="H42" s="272"/>
      <c r="I42" s="272"/>
      <c r="J42" s="272"/>
      <c r="K42" s="272"/>
      <c r="L42" s="272"/>
      <c r="M42" s="272"/>
      <c r="N42" s="272"/>
      <c r="O42" s="272"/>
      <c r="P42" s="273"/>
      <c r="Q42" s="273"/>
      <c r="R42" s="273"/>
      <c r="S42" s="273"/>
      <c r="T42" s="274"/>
      <c r="U42" s="363"/>
    </row>
    <row r="43" spans="1:38" ht="41.25" customHeight="1">
      <c r="A43" s="496"/>
      <c r="B43" s="266" t="s">
        <v>120</v>
      </c>
      <c r="C43" s="1539" t="s">
        <v>228</v>
      </c>
      <c r="D43" s="1521"/>
      <c r="E43" s="1521"/>
      <c r="F43" s="1521"/>
      <c r="G43" s="1521"/>
      <c r="H43" s="1521"/>
      <c r="I43" s="1521"/>
      <c r="J43" s="1521"/>
      <c r="K43" s="1521"/>
      <c r="L43" s="1521"/>
      <c r="M43" s="1521"/>
      <c r="N43" s="1521"/>
      <c r="O43" s="1521"/>
      <c r="P43" s="1521"/>
      <c r="Q43" s="1521"/>
      <c r="R43" s="1521"/>
      <c r="S43" s="1521"/>
      <c r="T43" s="1521"/>
      <c r="U43" s="363"/>
    </row>
    <row r="44" spans="1:38">
      <c r="A44" s="496"/>
      <c r="B44" s="266"/>
      <c r="C44" s="266"/>
      <c r="D44" s="268"/>
      <c r="E44" s="268"/>
      <c r="F44" s="268"/>
      <c r="G44" s="268"/>
      <c r="H44" s="76"/>
      <c r="I44" s="76"/>
      <c r="J44" s="76"/>
      <c r="K44" s="76"/>
      <c r="L44" s="76"/>
      <c r="M44" s="76"/>
      <c r="N44" s="76"/>
      <c r="O44" s="76"/>
      <c r="P44" s="76"/>
      <c r="Q44" s="76"/>
      <c r="R44" s="76"/>
      <c r="S44" s="76"/>
      <c r="T44" s="76"/>
      <c r="U44" s="363"/>
    </row>
    <row r="45" spans="1:38" ht="12.75" customHeight="1">
      <c r="A45" s="496"/>
      <c r="B45" s="266" t="s">
        <v>121</v>
      </c>
      <c r="C45" s="1492" t="s">
        <v>278</v>
      </c>
      <c r="D45" s="916"/>
      <c r="E45" s="916"/>
      <c r="F45" s="1532" t="str">
        <f>IF(Worksheet!$B$81="Final Child Support Obligation Payable By Father:","Father is obligated to pay child support to Mother pursuant to the Arizona Child Support",IF(Worksheet!$B$81="Final Child Support Obligation Payable By Mother:","Mother is obligated to pay child support to Father pursuant to the Arizona Child Support","Obligor is obligated to pay child support to obligee pursuant to the Arizona Child Support "))</f>
        <v xml:space="preserve">Obligor is obligated to pay child support to obligee pursuant to the Arizona Child Support </v>
      </c>
      <c r="G45" s="916"/>
      <c r="H45" s="916"/>
      <c r="I45" s="916"/>
      <c r="J45" s="916"/>
      <c r="K45" s="916"/>
      <c r="L45" s="916"/>
      <c r="M45" s="916"/>
      <c r="N45" s="916"/>
      <c r="O45" s="916"/>
      <c r="P45" s="916"/>
      <c r="Q45" s="916"/>
      <c r="R45" s="916"/>
      <c r="S45" s="916"/>
      <c r="T45" s="916"/>
      <c r="U45" s="363"/>
    </row>
    <row r="46" spans="1:38" ht="12.75" customHeight="1">
      <c r="A46" s="496"/>
      <c r="B46" s="266"/>
      <c r="C46" s="1532" t="s">
        <v>129</v>
      </c>
      <c r="D46" s="1500"/>
      <c r="E46" s="1500"/>
      <c r="F46" s="1500"/>
      <c r="G46" s="1500"/>
      <c r="H46" s="1611" t="str">
        <f>IF(Worksheet!$B$81="Final Child Support Obligation Payable By Mother:", Worksheet!Y80,Worksheet!U80)</f>
        <v/>
      </c>
      <c r="I46" s="1612"/>
      <c r="J46" s="1046"/>
      <c r="K46" s="1532" t="str">
        <f>IF(AND(ISBLANK(Worksheet!G92),ISBLANK(Worksheet!G93))," per month."," per month without deviation.")</f>
        <v xml:space="preserve"> per month.</v>
      </c>
      <c r="L46" s="916"/>
      <c r="M46" s="916"/>
      <c r="N46" s="916"/>
      <c r="O46" s="916"/>
      <c r="P46" s="916"/>
      <c r="Q46" s="916"/>
      <c r="R46" s="916"/>
      <c r="S46" s="916"/>
      <c r="T46" s="916"/>
      <c r="U46" s="363"/>
    </row>
    <row r="47" spans="1:38" ht="25.5" customHeight="1">
      <c r="A47" s="496"/>
      <c r="B47" s="266"/>
      <c r="C47" s="1544" t="str">
        <f>IF(AND(OR(NOT(ISBLANK(Worksheet!G92)),NOT(ISBLANK(Worksheet!G93))),Worksheet!U44=1),"Application of the child support guidelines in this case is inappropriate or unjust.  The Court has considered the best interests of the child in determining that a deviation is appropriate.  After deviation the child ",IF(AND(OR(NOT(ISBLANK(Worksheet!G92)),NOT(ISBLANK(Worksheet!G93))),Worksheet!U44&gt;1),"Application of the child support guidelines in this case is inappropriate or unjust.  The Court has considered the best interests of the children in determining that a deviation is appropriate.  After deviation the child ",IF(AND(ISNUMBER(Worksheet!S90),Worksheet!G91="x"),"This amount is an appropriate amount to award for child support in this case excepting that the Court finds it more appropriate and just to make a de minimus adjustment to the exact Guidelines amount for ease of","")))</f>
        <v/>
      </c>
      <c r="D47" s="1521"/>
      <c r="E47" s="1521"/>
      <c r="F47" s="1521"/>
      <c r="G47" s="1521"/>
      <c r="H47" s="1521"/>
      <c r="I47" s="1521"/>
      <c r="J47" s="1521"/>
      <c r="K47" s="1521"/>
      <c r="L47" s="1521"/>
      <c r="M47" s="1521"/>
      <c r="N47" s="1521"/>
      <c r="O47" s="1521"/>
      <c r="P47" s="1521"/>
      <c r="Q47" s="1521"/>
      <c r="R47" s="1521"/>
      <c r="S47" s="1521"/>
      <c r="T47" s="1521"/>
      <c r="U47" s="363"/>
    </row>
    <row r="48" spans="1:38" ht="12.75" customHeight="1">
      <c r="A48" s="496"/>
      <c r="B48" s="266"/>
      <c r="C48" s="1532" t="str">
        <f>IF(OR(NOT(ISBLANK(Worksheet!G92)),NOT(ISBLANK(Worksheet!G93))),"support order is",IF(AND(ISNUMBER(Worksheet!S90),Worksheet!G91="x"),"calculation to",""))</f>
        <v/>
      </c>
      <c r="D48" s="1448"/>
      <c r="E48" s="1448"/>
      <c r="F48" s="1599" t="str">
        <f>IF(OR(NOT(ISBLANK(Worksheet!$G$92)),NOT(ISBLANK(Worksheet!$G$93)),ISNUMBER(Worksheet!$S$90)),Worksheet!$H$96,"")</f>
        <v/>
      </c>
      <c r="G48" s="1600"/>
      <c r="H48" s="1600"/>
      <c r="I48" s="1544" t="str">
        <f>IF(NOT(ISBLANK(Worksheet!G92))," per month.  Further, the parties have entered into a written or ",IF(OR(NOT(ISBLANK(Worksheet!G92)),NOT(ISBLANK(Worksheet!G93)),AND(ISNUMBER(Worksheet!$S$90),Worksheet!$G$91="x"))," per month.",""))</f>
        <v/>
      </c>
      <c r="J48" s="1594"/>
      <c r="K48" s="1594"/>
      <c r="L48" s="1594"/>
      <c r="M48" s="1594"/>
      <c r="N48" s="1594"/>
      <c r="O48" s="1594"/>
      <c r="P48" s="1594"/>
      <c r="Q48" s="1594"/>
      <c r="R48" s="1594"/>
      <c r="S48" s="1594"/>
      <c r="T48" s="1024"/>
      <c r="U48" s="363"/>
    </row>
    <row r="49" spans="1:21" ht="39.75" customHeight="1">
      <c r="A49" s="496"/>
      <c r="B49" s="266"/>
      <c r="C49" s="1544" t="str">
        <f>IF(NOT(ISBLANK(Worksheet!G92)),"record agreement free of duress and coercion to deviate with knowledge of the amount of child support that would have been ordered under the guidelines but for the agreement.  "&amp;Worksheet!G94,IF(NOT(ISBLANK(Worksheet!G94)),Worksheet!G94,""))</f>
        <v/>
      </c>
      <c r="D49" s="1500"/>
      <c r="E49" s="1500"/>
      <c r="F49" s="1500"/>
      <c r="G49" s="1500"/>
      <c r="H49" s="1500"/>
      <c r="I49" s="1500"/>
      <c r="J49" s="1500"/>
      <c r="K49" s="1500"/>
      <c r="L49" s="1500"/>
      <c r="M49" s="1500"/>
      <c r="N49" s="1500"/>
      <c r="O49" s="1500"/>
      <c r="P49" s="1500"/>
      <c r="Q49" s="1500"/>
      <c r="R49" s="1500"/>
      <c r="S49" s="1500"/>
      <c r="T49" s="1500"/>
      <c r="U49" s="363"/>
    </row>
    <row r="50" spans="1:21">
      <c r="A50" s="496"/>
      <c r="B50" s="266" t="s">
        <v>122</v>
      </c>
      <c r="C50" s="1492" t="s">
        <v>219</v>
      </c>
      <c r="D50" s="1024"/>
      <c r="E50" s="1024"/>
      <c r="F50" s="1500" t="str">
        <f>IF(AND(NOT(ISBLANK(Worksheet!G106)),Worksheet!$B$81="Final Child Support Obligation Payable By Father:"),"It is appropriate to award Mother an additional judgment for past support in the amount of ",IF(AND(NOT(ISBLANK(Worksheet!G106)),Worksheet!$B$81="Final Child Support Obligation Payable By Mother:"),"It is appropriate to award Father an additional judgment for past support in the amount of","The evidence does not support a judgment for past support."))</f>
        <v>The evidence does not support a judgment for past support.</v>
      </c>
      <c r="G50" s="1500"/>
      <c r="H50" s="1500"/>
      <c r="I50" s="1500"/>
      <c r="J50" s="1500"/>
      <c r="K50" s="1500"/>
      <c r="L50" s="1500"/>
      <c r="M50" s="1500"/>
      <c r="N50" s="1500"/>
      <c r="O50" s="1500"/>
      <c r="P50" s="1500"/>
      <c r="Q50" s="1500"/>
      <c r="R50" s="1500"/>
      <c r="S50" s="1500"/>
      <c r="T50" s="1500"/>
      <c r="U50" s="363"/>
    </row>
    <row r="51" spans="1:21">
      <c r="A51" s="496"/>
      <c r="B51" s="266"/>
      <c r="C51" s="1549" t="str">
        <f>IF(NOT(ISBLANK(Worksheet!G106)),Worksheet!M106,"")</f>
        <v/>
      </c>
      <c r="D51" s="1415"/>
      <c r="E51" s="1415"/>
      <c r="F51" s="1643" t="str">
        <f>IF(AND(NOT(ISBLANK(Worksheet!G106)),NOT(ISBLANK(Worksheet!H107)),NOT(ISBLANK(Worksheet!H108))),"as past support for the three-year period prior to filing of the current petition until today.",IF(AND(NOT(ISBLANK(Worksheet!G106)),NOT(ISBLANK(Worksheet!H107))),"for appropriate past support from the date of filing of the current petition until today.",IF(AND(NOT(ISBLANK(Worksheet!G106)),NOT(ISBLANK(Worksheet!H108))),"as past support that includes the three-year period prior to the filing of the current petition.",IF(NOT(ISBLANK(Worksheet!G106)),"for all past support including any period prior to the date of filing of the current petition.",""))))</f>
        <v/>
      </c>
      <c r="G51" s="929"/>
      <c r="H51" s="929"/>
      <c r="I51" s="929"/>
      <c r="J51" s="929"/>
      <c r="K51" s="929"/>
      <c r="L51" s="929"/>
      <c r="M51" s="929"/>
      <c r="N51" s="929"/>
      <c r="O51" s="929"/>
      <c r="P51" s="929"/>
      <c r="Q51" s="929"/>
      <c r="R51" s="929"/>
      <c r="S51" s="929"/>
      <c r="T51" s="929"/>
      <c r="U51" s="363"/>
    </row>
    <row r="52" spans="1:21" ht="0.95" customHeight="1">
      <c r="A52" s="496"/>
      <c r="B52" s="266"/>
      <c r="C52" s="268"/>
      <c r="D52" s="76"/>
      <c r="E52" s="325"/>
      <c r="F52" s="325"/>
      <c r="G52" s="98"/>
      <c r="H52" s="322"/>
      <c r="I52" s="322"/>
      <c r="J52" s="322"/>
      <c r="K52" s="322"/>
      <c r="L52" s="24"/>
      <c r="M52" s="323"/>
      <c r="N52" s="323"/>
      <c r="O52" s="323"/>
      <c r="P52" s="324"/>
      <c r="Q52" s="212"/>
      <c r="R52" s="212"/>
      <c r="S52" s="77"/>
      <c r="T52" s="77"/>
      <c r="U52" s="363"/>
    </row>
    <row r="53" spans="1:21">
      <c r="A53" s="496"/>
      <c r="B53" s="266"/>
      <c r="C53" s="275"/>
      <c r="D53" s="275"/>
      <c r="E53" s="275"/>
      <c r="F53" s="275"/>
      <c r="G53" s="276"/>
      <c r="H53" s="276"/>
      <c r="I53" s="276"/>
      <c r="J53" s="276"/>
      <c r="K53" s="276"/>
      <c r="L53" s="276"/>
      <c r="M53" s="276"/>
      <c r="N53" s="276"/>
      <c r="O53" s="276"/>
      <c r="P53" s="276"/>
      <c r="Q53" s="276"/>
      <c r="R53" s="276"/>
      <c r="S53" s="276"/>
      <c r="T53" s="276"/>
      <c r="U53" s="363"/>
    </row>
    <row r="54" spans="1:21" ht="12.75" customHeight="1">
      <c r="A54" s="496"/>
      <c r="B54" s="266" t="s">
        <v>123</v>
      </c>
      <c r="C54" s="1492" t="s">
        <v>312</v>
      </c>
      <c r="D54" s="1024"/>
      <c r="E54" s="916"/>
      <c r="F54" s="1646" t="str">
        <f>IF(AND(NOT(ISBLANK(Worksheet!G100)),Worksheet!$B$81="Final Child Support Obligation Payable By Father:"),"  Father owes child support arrearages to mother in the total amount of",IF(AND(NOT(ISBLANK(Worksheet!G100)),Worksheet!$B$81="Final Child Support Obligation Payable By Mother:"),"  Mother owes child support arrearages to father in the total amount of",IF(Worksheet!G99="x","  No evidence was presented in support of any child support arrearage.","  Child support arrearages not addressed.")))</f>
        <v xml:space="preserve">  No evidence was presented in support of any child support arrearage.</v>
      </c>
      <c r="G54" s="994"/>
      <c r="H54" s="994"/>
      <c r="I54" s="994"/>
      <c r="J54" s="994"/>
      <c r="K54" s="994"/>
      <c r="L54" s="994"/>
      <c r="M54" s="994"/>
      <c r="N54" s="994"/>
      <c r="O54" s="994"/>
      <c r="P54" s="994"/>
      <c r="Q54" s="994"/>
      <c r="R54" s="1611" t="str">
        <f>IF(NOT(ISBLANK(Worksheet!G100)),Worksheet!Q100,"")</f>
        <v/>
      </c>
      <c r="S54" s="1046"/>
      <c r="T54" s="1046"/>
      <c r="U54" s="363"/>
    </row>
    <row r="55" spans="1:21">
      <c r="A55" s="496"/>
      <c r="B55" s="266"/>
      <c r="C55" s="1532" t="str">
        <f>IF(NOT(ISBLANK(Worksheet!G100)),"for the time period of","")</f>
        <v/>
      </c>
      <c r="D55" s="1024"/>
      <c r="E55" s="1024"/>
      <c r="F55" s="1024"/>
      <c r="G55" s="1604" t="str">
        <f>IF(AND(NOT(ISBLANK(Worksheet!G100)),NOT(ISBLANK(Worksheet!M101))),Worksheet!M101,"")</f>
        <v/>
      </c>
      <c r="H55" s="1577"/>
      <c r="I55" s="1577"/>
      <c r="J55" s="1577"/>
      <c r="K55" s="1654" t="str">
        <f>IF(NOT(ISBLANK(Worksheet!G100)),"through","")</f>
        <v/>
      </c>
      <c r="L55" s="1650"/>
      <c r="M55" s="1604" t="str">
        <f>IF(AND(NOT(ISBLANK(Worksheet!G100)),NOT(ISBLANK(Worksheet!V101))),Worksheet!V101,"")</f>
        <v/>
      </c>
      <c r="N55" s="1655"/>
      <c r="O55" s="1655"/>
      <c r="P55" s="1655"/>
      <c r="Q55" s="300" t="str">
        <f>IF(AND(NOT(ISBLANK(Worksheet!G100)),ISNUMBER(Worksheet!M102)),"plus accrued interest","")</f>
        <v/>
      </c>
      <c r="R55" s="76"/>
      <c r="S55" s="277"/>
      <c r="T55" s="76"/>
      <c r="U55" s="363"/>
    </row>
    <row r="56" spans="1:21" s="487" customFormat="1">
      <c r="A56" s="496"/>
      <c r="B56" s="486"/>
      <c r="C56" s="484" t="str">
        <f>IF(AND(NOT(ISBLANK(Worksheet!G100)),ISNUMBER(Worksheet!M102)),"on prior child support arrearages due of","")</f>
        <v/>
      </c>
      <c r="D56" s="480"/>
      <c r="E56" s="480"/>
      <c r="F56" s="480"/>
      <c r="G56" s="485"/>
      <c r="H56" s="502"/>
      <c r="J56" s="1549" t="str">
        <f>IF(AND(NOT(ISBLANK(Worksheet!G100)),ISNUMBER(Worksheet!M102)),Worksheet!M102,"")</f>
        <v/>
      </c>
      <c r="K56" s="1647"/>
      <c r="L56" s="1647"/>
      <c r="M56" s="1650" t="str">
        <f>IF(AND(NOT(ISBLANK(Worksheet!G100)),NOT(ISBLANK(Worksheet!M102)),ISNUMBER(Worksheet!U102)),"calculated through","")</f>
        <v/>
      </c>
      <c r="N56" s="1651"/>
      <c r="O56" s="1651"/>
      <c r="P56" s="1648" t="str">
        <f>IF(AND(NOT(ISBLANK(Worksheet!G100)),NOT(ISBLANK(Worksheet!M102)),ISNUMBER(Worksheet!U102)),Worksheet!U102,"")</f>
        <v/>
      </c>
      <c r="Q56" s="1649"/>
      <c r="R56" s="1649"/>
      <c r="S56" s="1649"/>
      <c r="T56" s="1649"/>
      <c r="U56" s="363"/>
    </row>
    <row r="57" spans="1:21">
      <c r="A57" s="496"/>
      <c r="B57" s="266"/>
      <c r="C57" s="266"/>
      <c r="D57" s="91"/>
      <c r="E57" s="91"/>
      <c r="F57" s="91"/>
      <c r="G57" s="91"/>
      <c r="H57" s="91"/>
      <c r="I57" s="91"/>
      <c r="J57" s="76"/>
      <c r="K57" s="76"/>
      <c r="L57" s="76"/>
      <c r="M57" s="76"/>
      <c r="N57" s="76"/>
      <c r="O57" s="76"/>
      <c r="P57" s="76"/>
      <c r="Q57" s="76"/>
      <c r="R57" s="76"/>
      <c r="S57" s="76"/>
      <c r="T57" s="91"/>
      <c r="U57" s="363"/>
    </row>
    <row r="58" spans="1:21" ht="12.75" customHeight="1">
      <c r="A58" s="496"/>
      <c r="B58" s="266" t="s">
        <v>227</v>
      </c>
      <c r="C58" s="1539" t="s">
        <v>317</v>
      </c>
      <c r="D58" s="1500"/>
      <c r="E58" s="1500"/>
      <c r="F58" s="1500"/>
      <c r="G58" s="1587" t="str">
        <f>IF(AND(NOT(ISBLANK(Worksheet!G113)),Worksheet!T113="x"),"It is appropriate to award mother a judgment for paternity expenses in the sum of",IF(AND(NOT(ISBLANK(Worksheet!G113)),NOT(ISBLANK(Worksheet!W113))),"It is appropriate to award mother a judgment for paternity expenses in the sum of","The evidence does not support a judgment for A.R.S. §8-809(C) paternity expenses."))</f>
        <v>The evidence does not support a judgment for A.R.S. §8-809(C) paternity expenses.</v>
      </c>
      <c r="H58" s="1153"/>
      <c r="I58" s="1153"/>
      <c r="J58" s="1153"/>
      <c r="K58" s="1153"/>
      <c r="L58" s="1153"/>
      <c r="M58" s="1153"/>
      <c r="N58" s="1153"/>
      <c r="O58" s="1153"/>
      <c r="P58" s="1153"/>
      <c r="Q58" s="1153"/>
      <c r="R58" s="1153"/>
      <c r="S58" s="1153"/>
      <c r="T58" s="1153"/>
      <c r="U58" s="363"/>
    </row>
    <row r="59" spans="1:21" ht="12.75" customHeight="1">
      <c r="A59" s="496"/>
      <c r="B59" s="266"/>
      <c r="C59" s="1588" t="str">
        <f>IF(NOT(ISBLANK(Worksheet!G113)),Worksheet!M113,"")</f>
        <v/>
      </c>
      <c r="D59" s="1588"/>
      <c r="E59" s="1588"/>
      <c r="F59" s="1024" t="str">
        <f>IF(NOT(ISBLANK(Worksheet!G113)),"for all actual costs of pregnancy, childbirth, any genetic testing and other related costs.","")</f>
        <v/>
      </c>
      <c r="G59" s="916"/>
      <c r="H59" s="916"/>
      <c r="I59" s="916"/>
      <c r="J59" s="916"/>
      <c r="K59" s="916"/>
      <c r="L59" s="916"/>
      <c r="M59" s="916"/>
      <c r="N59" s="916"/>
      <c r="O59" s="916"/>
      <c r="P59" s="916"/>
      <c r="Q59" s="916"/>
      <c r="R59" s="916"/>
      <c r="S59" s="916"/>
      <c r="T59" s="916"/>
      <c r="U59" s="363"/>
    </row>
    <row r="60" spans="1:21">
      <c r="A60" s="496"/>
      <c r="B60" s="518"/>
      <c r="C60" s="266"/>
      <c r="D60" s="91"/>
      <c r="E60" s="91"/>
      <c r="F60" s="91"/>
      <c r="G60" s="91"/>
      <c r="H60" s="91"/>
      <c r="I60" s="91"/>
      <c r="J60" s="91"/>
      <c r="K60" s="91"/>
      <c r="L60" s="91"/>
      <c r="M60" s="91"/>
      <c r="N60" s="91"/>
      <c r="O60" s="91"/>
      <c r="P60" s="473"/>
      <c r="Q60" s="473"/>
      <c r="R60" s="473"/>
      <c r="S60" s="91"/>
      <c r="T60" s="91"/>
      <c r="U60" s="363"/>
    </row>
    <row r="61" spans="1:21">
      <c r="A61" s="496"/>
      <c r="B61" s="1585" t="s">
        <v>118</v>
      </c>
      <c r="C61" s="1585"/>
      <c r="D61" s="1586"/>
      <c r="E61" s="1586"/>
      <c r="F61" s="1586"/>
      <c r="G61" s="1586"/>
      <c r="H61" s="1586"/>
      <c r="I61" s="1586"/>
      <c r="J61" s="1586"/>
      <c r="K61" s="1586"/>
      <c r="L61" s="1586"/>
      <c r="M61" s="1586"/>
      <c r="N61" s="1586"/>
      <c r="O61" s="1586"/>
      <c r="P61" s="1586"/>
      <c r="Q61" s="1586"/>
      <c r="R61" s="1586"/>
      <c r="S61" s="1586"/>
      <c r="T61" s="1586"/>
      <c r="U61" s="363"/>
    </row>
    <row r="62" spans="1:21">
      <c r="A62" s="496"/>
      <c r="B62" s="278"/>
      <c r="C62" s="278"/>
      <c r="D62" s="279"/>
      <c r="E62" s="279"/>
      <c r="F62" s="279"/>
      <c r="G62" s="279"/>
      <c r="H62" s="279"/>
      <c r="I62" s="279"/>
      <c r="J62" s="279"/>
      <c r="K62" s="279"/>
      <c r="L62" s="279"/>
      <c r="M62" s="279"/>
      <c r="N62" s="279"/>
      <c r="O62" s="279"/>
      <c r="P62" s="279"/>
      <c r="Q62" s="279"/>
      <c r="R62" s="279"/>
      <c r="S62" s="279"/>
      <c r="T62" s="279"/>
      <c r="U62" s="363"/>
    </row>
    <row r="63" spans="1:21" ht="12.75" customHeight="1">
      <c r="A63" s="496"/>
      <c r="B63" s="266" t="s">
        <v>111</v>
      </c>
      <c r="C63" s="1586" t="s">
        <v>221</v>
      </c>
      <c r="D63" s="1024"/>
      <c r="E63" s="1653" t="str">
        <f>IF(NOT(ISBLANK(Worksheet!J188)),Worksheet!J188,"")</f>
        <v/>
      </c>
      <c r="F63" s="1580"/>
      <c r="G63" s="1580"/>
      <c r="H63" s="1580"/>
      <c r="I63" s="1580"/>
      <c r="J63" s="1580"/>
      <c r="K63" s="1587" t="str">
        <f>IF(Worksheet!U44=1,"is the natural father of the above-named child.",IF(Worksheet!U44&gt;1,"is the natural father of the above-named children.","is the natural father of the above-named chid[ren]."))</f>
        <v>is the natural father of the above-named children.</v>
      </c>
      <c r="L63" s="1521"/>
      <c r="M63" s="1521"/>
      <c r="N63" s="1521"/>
      <c r="O63" s="1521"/>
      <c r="P63" s="1521"/>
      <c r="Q63" s="1521"/>
      <c r="R63" s="1521"/>
      <c r="S63" s="1521"/>
      <c r="T63" s="1521"/>
      <c r="U63" s="363"/>
    </row>
    <row r="64" spans="1:21" ht="53.25" customHeight="1">
      <c r="A64" s="496"/>
      <c r="B64" s="266"/>
      <c r="C64" s="1587" t="str">
        <f>IF(Worksheet!U44=1,Paragraphs!B99,IF(Worksheet!U44&gt;1,Paragraphs!B100,Paragraphs!B101))</f>
        <v>For the above-named children born in the State of Arizona, the Clerk of this Court shall send a copy of this Judgment and Order to the Office of Vital Records, Department of Health Services, which shall establish, pursuant to A.R.S. §36-323, new birth certificates for the children to include the natural father established herein as the father of each child on the birth certificate.</v>
      </c>
      <c r="D64" s="882"/>
      <c r="E64" s="882"/>
      <c r="F64" s="882"/>
      <c r="G64" s="882"/>
      <c r="H64" s="882"/>
      <c r="I64" s="882"/>
      <c r="J64" s="882"/>
      <c r="K64" s="882"/>
      <c r="L64" s="882"/>
      <c r="M64" s="882"/>
      <c r="N64" s="882"/>
      <c r="O64" s="882"/>
      <c r="P64" s="882"/>
      <c r="Q64" s="882"/>
      <c r="R64" s="882"/>
      <c r="S64" s="882"/>
      <c r="T64" s="882"/>
      <c r="U64" s="363"/>
    </row>
    <row r="65" spans="1:21">
      <c r="A65" s="496"/>
      <c r="B65" s="266"/>
      <c r="C65" s="266"/>
      <c r="D65" s="280"/>
      <c r="E65" s="280"/>
      <c r="F65" s="280"/>
      <c r="G65" s="280"/>
      <c r="H65" s="280"/>
      <c r="I65" s="280"/>
      <c r="J65" s="280"/>
      <c r="K65" s="280"/>
      <c r="L65" s="280"/>
      <c r="M65" s="280"/>
      <c r="N65" s="280"/>
      <c r="O65" s="280"/>
      <c r="P65" s="280"/>
      <c r="Q65" s="280"/>
      <c r="R65" s="280"/>
      <c r="S65" s="280"/>
      <c r="T65" s="280"/>
      <c r="U65" s="363"/>
    </row>
    <row r="66" spans="1:21">
      <c r="A66" s="496"/>
      <c r="B66" s="266" t="s">
        <v>114</v>
      </c>
      <c r="C66" s="1586" t="s">
        <v>223</v>
      </c>
      <c r="D66" s="1500"/>
      <c r="E66" s="1500"/>
      <c r="F66" s="1500"/>
      <c r="G66" s="1507" t="str">
        <f>IF(AND(Worksheet!G195="x",Worksheet!U44=1),"There is no other presumptive father of the minor child.",IF(AND(Worksheet!G195="x",Worksheet!U44&gt;1),"There is no other presumptive father of the minor children.",IF(AND(OR(NOT(ISBLANK(Worksheet!G196)),NOT(ISBLANK(Worksheet!G197))),Worksheet!U44=1),"The presumptive father is not the natural father of the minor child.",IF(AND(OR(NOT(ISBLANK(Worksheet!G196)),NOT(ISBLANK(Worksheet!G197))),Worksheet!U44&gt;1),"The presumptive father is not the natural father of the minor children.","There is no evidence of a presumptive father in this case."))))</f>
        <v>There is no other presumptive father of the minor children.</v>
      </c>
      <c r="H66" s="1644"/>
      <c r="I66" s="1644"/>
      <c r="J66" s="1644"/>
      <c r="K66" s="1644"/>
      <c r="L66" s="1644"/>
      <c r="M66" s="1644"/>
      <c r="N66" s="1644"/>
      <c r="O66" s="1644"/>
      <c r="P66" s="1644"/>
      <c r="Q66" s="1644"/>
      <c r="R66" s="1644"/>
      <c r="S66" s="1644"/>
      <c r="T66" s="1644"/>
      <c r="U66" s="363"/>
    </row>
    <row r="67" spans="1:21">
      <c r="A67" s="496"/>
      <c r="B67" s="266"/>
      <c r="C67" s="266"/>
      <c r="D67" s="280"/>
      <c r="E67" s="280"/>
      <c r="F67" s="280"/>
      <c r="G67" s="280"/>
      <c r="H67" s="280"/>
      <c r="I67" s="280"/>
      <c r="J67" s="280"/>
      <c r="K67" s="280"/>
      <c r="L67" s="280"/>
      <c r="M67" s="280"/>
      <c r="N67" s="280"/>
      <c r="O67" s="280"/>
      <c r="P67" s="280"/>
      <c r="Q67" s="280"/>
      <c r="R67" s="280"/>
      <c r="S67" s="280"/>
      <c r="T67" s="280"/>
      <c r="U67" s="363"/>
    </row>
    <row r="68" spans="1:21" ht="12.75" customHeight="1">
      <c r="A68" s="496"/>
      <c r="B68" s="266" t="s">
        <v>115</v>
      </c>
      <c r="C68" s="1022" t="s">
        <v>636</v>
      </c>
      <c r="D68" s="1024"/>
      <c r="E68" s="916"/>
      <c r="F68" s="916"/>
      <c r="G68" s="916"/>
      <c r="H68" s="1587" t="str">
        <f>IF(OR(Worksheet!G199="x",NOT(ISBLANK(Worksheet!G200)),NOT(ISBLANK(Worksheet!G201)),NOT(ISBLANK(Worksheet!G202))),VLOOKUP(Paragraphs!A14,Paragraphs!A17:'Paragraphs'!B96,2,FALSE),"There is no legal decision-making or parenting time order for the minor ")</f>
        <v>The minor child[ren] currently reside with Obligee.</v>
      </c>
      <c r="I68" s="1153"/>
      <c r="J68" s="1153"/>
      <c r="K68" s="1153"/>
      <c r="L68" s="1153"/>
      <c r="M68" s="1153"/>
      <c r="N68" s="1153"/>
      <c r="O68" s="1153"/>
      <c r="P68" s="1153"/>
      <c r="Q68" s="1153"/>
      <c r="R68" s="1153"/>
      <c r="S68" s="1153"/>
      <c r="T68" s="1153"/>
      <c r="U68" s="363"/>
    </row>
    <row r="69" spans="1:21" s="847" customFormat="1" ht="12.75" customHeight="1">
      <c r="A69" s="843"/>
      <c r="B69" s="846"/>
      <c r="C69" s="1652" t="str">
        <f>IF(ISBLANK((VLOOKUP(Paragraphs!A15,Paragraphs!A17:'Paragraphs'!B96,2,FALSE))),"",IF(OR(Worksheet!G199="x",NOT(ISBLANK(Worksheet!G200)),NOT(ISBLANK(Worksheet!G201)),NOT(ISBLANK(Worksheet!G202))),VLOOKUP(Paragraphs!A15,Paragraphs!A17:'Paragraphs'!B96,2,FALSE),"child[ren] but the minor child[ren] currently reside[s] with obligee."))</f>
        <v/>
      </c>
      <c r="D69" s="1153"/>
      <c r="E69" s="1153"/>
      <c r="F69" s="1153"/>
      <c r="G69" s="1153"/>
      <c r="H69" s="1153"/>
      <c r="I69" s="1153"/>
      <c r="J69" s="1153"/>
      <c r="K69" s="1153"/>
      <c r="L69" s="1153"/>
      <c r="M69" s="1153"/>
      <c r="N69" s="1153"/>
      <c r="O69" s="1153"/>
      <c r="P69" s="1153"/>
      <c r="Q69" s="1153"/>
      <c r="R69" s="1153"/>
      <c r="S69" s="1153"/>
      <c r="T69" s="1153"/>
      <c r="U69" s="363"/>
    </row>
    <row r="70" spans="1:21">
      <c r="A70" s="496"/>
      <c r="B70" s="846"/>
      <c r="C70" s="846"/>
      <c r="D70" s="845"/>
      <c r="E70" s="845"/>
      <c r="F70" s="845"/>
      <c r="G70" s="845"/>
      <c r="H70" s="845"/>
      <c r="I70" s="845"/>
      <c r="J70" s="845"/>
      <c r="K70" s="845"/>
      <c r="L70" s="845"/>
      <c r="M70" s="845"/>
      <c r="N70" s="845"/>
      <c r="O70" s="845"/>
      <c r="P70" s="845"/>
      <c r="Q70" s="845"/>
      <c r="R70" s="845"/>
      <c r="S70" s="845"/>
      <c r="T70" s="845"/>
      <c r="U70" s="363"/>
    </row>
    <row r="71" spans="1:21">
      <c r="A71" s="496"/>
      <c r="B71" s="266" t="s">
        <v>116</v>
      </c>
      <c r="C71" s="1022" t="s">
        <v>278</v>
      </c>
      <c r="D71" s="1024"/>
      <c r="E71" s="916"/>
      <c r="F71" s="1507" t="str">
        <f>IF(Worksheet!$B$81="Final Child Support Obligation Payable By Father:","Father shall pay child support to Mother in the sum of",IF(Worksheet!$B$81="Final Child Support Obligation Payable By Mother:","Mother shall pay child support to Father in the sum of","Obligor shall pay child support to obligee in the sum of"))</f>
        <v>Obligor shall pay child support to obligee in the sum of</v>
      </c>
      <c r="G71" s="916"/>
      <c r="H71" s="916"/>
      <c r="I71" s="916"/>
      <c r="J71" s="916"/>
      <c r="K71" s="916"/>
      <c r="L71" s="916"/>
      <c r="M71" s="916"/>
      <c r="N71" s="916"/>
      <c r="O71" s="1599" t="str">
        <f>IF(ISNUMBER(F48),F48,H46)</f>
        <v/>
      </c>
      <c r="P71" s="1645"/>
      <c r="Q71" s="1645"/>
      <c r="R71" s="1183" t="s">
        <v>340</v>
      </c>
      <c r="S71" s="1024"/>
      <c r="T71" s="1024"/>
      <c r="U71" s="363"/>
    </row>
    <row r="72" spans="1:21" s="487" customFormat="1">
      <c r="A72" s="496"/>
      <c r="B72" s="486"/>
      <c r="C72" s="1183" t="s">
        <v>337</v>
      </c>
      <c r="D72" s="916"/>
      <c r="E72" s="916"/>
      <c r="F72" s="916"/>
      <c r="G72" s="916"/>
      <c r="H72" s="916"/>
      <c r="I72" s="916"/>
      <c r="J72" s="916"/>
      <c r="K72" s="916"/>
      <c r="L72" s="1595" t="str">
        <f>IF(OR(Worksheet!$B$81="Final Child Support Obligation Payable By Father:",Worksheet!B81="Final Child Support Obligation Payable By Mother:"),Worksheet!N129,"")</f>
        <v/>
      </c>
      <c r="M72" s="1596"/>
      <c r="N72" s="1596"/>
      <c r="O72" s="1596"/>
      <c r="P72" s="504" t="s">
        <v>341</v>
      </c>
      <c r="Q72" s="503"/>
      <c r="R72" s="480"/>
      <c r="S72" s="480"/>
      <c r="T72" s="480"/>
      <c r="U72" s="363"/>
    </row>
    <row r="73" spans="1:21">
      <c r="A73" s="496"/>
      <c r="B73" s="266"/>
      <c r="C73" s="266"/>
      <c r="D73" s="268"/>
      <c r="E73" s="268"/>
      <c r="F73" s="268"/>
      <c r="G73" s="268"/>
      <c r="H73" s="268"/>
      <c r="I73" s="268"/>
      <c r="J73" s="76"/>
      <c r="K73" s="76"/>
      <c r="L73" s="76"/>
      <c r="M73" s="76"/>
      <c r="N73" s="76"/>
      <c r="O73" s="268"/>
      <c r="P73" s="268"/>
      <c r="Q73" s="268"/>
      <c r="R73" s="76"/>
      <c r="S73" s="76"/>
      <c r="T73" s="76"/>
      <c r="U73" s="363"/>
    </row>
    <row r="74" spans="1:21">
      <c r="A74" s="496"/>
      <c r="B74" s="266" t="s">
        <v>117</v>
      </c>
      <c r="C74" s="1533" t="s">
        <v>311</v>
      </c>
      <c r="D74" s="944"/>
      <c r="E74" s="944"/>
      <c r="F74" s="945"/>
      <c r="G74" s="945"/>
      <c r="H74" s="1534" t="str">
        <f>IF(AND(NOT(ISBLANK(Worksheet!G106)),Worksheet!$B$81="Final Child Support Obligation Payable By Father:"),"Mother is also granted judgment against Father in the additional amount of",IF(AND(NOT(ISBLANK(Worksheet!G106)),Worksheet!$B$81="Final Child Support Obligation Payable By Mother:"),"Father is also granted judgment against Mother in the additional amount of",IF(NOT(ISBLANK(Worksheet!G106)),"_____ is also granted judgment against _____ in the additional amount of","No judgment for past support is entered.")))</f>
        <v>No judgment for past support is entered.</v>
      </c>
      <c r="I74" s="1535"/>
      <c r="J74" s="1535"/>
      <c r="K74" s="1535"/>
      <c r="L74" s="1535"/>
      <c r="M74" s="1535"/>
      <c r="N74" s="1535"/>
      <c r="O74" s="1535"/>
      <c r="P74" s="1535"/>
      <c r="Q74" s="1535"/>
      <c r="R74" s="1535"/>
      <c r="S74" s="1535"/>
      <c r="T74" s="1535"/>
      <c r="U74" s="363"/>
    </row>
    <row r="75" spans="1:21" ht="12.75" customHeight="1">
      <c r="A75" s="496"/>
      <c r="B75" s="266"/>
      <c r="C75" s="1530" t="str">
        <f>IF(NOT(ISBLANK(Worksheet!G106)),Worksheet!M106,"")</f>
        <v/>
      </c>
      <c r="D75" s="1530"/>
      <c r="E75" s="1602"/>
      <c r="F75" s="944" t="str">
        <f>IF(AND(NOT(ISBLANK(Worksheet!G106)),Worksheet!$B$81="Final Child Support Obligation Payable By Father:"),"as and for past care and support.  Father shall pay the additional amount of ",IF(AND(NOT(ISBLANK(Worksheet!G106)),Worksheet!$B$81="Final Child Support Obligation Payable By Mother:"),"as and for past care and support.  Mother shall pay the additional amount of ",IF(NOT(ISBLANK(Worksheet!G106)),"as and for past care and support.  _____ shall pay the additional amount of","")))</f>
        <v/>
      </c>
      <c r="G75" s="945"/>
      <c r="H75" s="945"/>
      <c r="I75" s="945"/>
      <c r="J75" s="945"/>
      <c r="K75" s="945"/>
      <c r="L75" s="945"/>
      <c r="M75" s="916"/>
      <c r="N75" s="916"/>
      <c r="O75" s="916"/>
      <c r="P75" s="916"/>
      <c r="Q75" s="916"/>
      <c r="R75" s="916"/>
      <c r="S75" s="916"/>
      <c r="T75" s="916"/>
      <c r="U75" s="363"/>
    </row>
    <row r="76" spans="1:21">
      <c r="A76" s="496"/>
      <c r="B76" s="266"/>
      <c r="C76" s="1414" t="str">
        <f>IF(AND(NOT(ISBLANK(Worksheet!G106)),NOT(ISBLANK(Worksheet!R120))),Worksheet!R120,"")</f>
        <v/>
      </c>
      <c r="D76" s="1414"/>
      <c r="E76" s="1414"/>
      <c r="F76" s="1590" t="str">
        <f>IF(NOT(ISBLANK(Worksheet!G106)),"per month towards this judgment, payable on the 1st day of each month commencing","")</f>
        <v/>
      </c>
      <c r="G76" s="916"/>
      <c r="H76" s="916"/>
      <c r="I76" s="916"/>
      <c r="J76" s="916"/>
      <c r="K76" s="916"/>
      <c r="L76" s="916"/>
      <c r="M76" s="916"/>
      <c r="N76" s="916"/>
      <c r="O76" s="916"/>
      <c r="P76" s="916"/>
      <c r="Q76" s="916"/>
      <c r="R76" s="916"/>
      <c r="S76" s="916"/>
      <c r="T76" s="916"/>
      <c r="U76" s="363"/>
    </row>
    <row r="77" spans="1:21" s="487" customFormat="1">
      <c r="A77" s="496"/>
      <c r="B77" s="486"/>
      <c r="C77" s="1591" t="str">
        <f ca="1">IF(AND(NOT(ISBLANK(Worksheet!G106)),NOT(ISBLANK(Worksheet!N129))),Worksheet!N129,"")</f>
        <v/>
      </c>
      <c r="D77" s="1592"/>
      <c r="E77" s="1592"/>
      <c r="F77" s="1592"/>
      <c r="G77" s="945" t="str">
        <f>IF(NOT(ISBLANK(Worksheet!G106)),"until paid in full.","")</f>
        <v/>
      </c>
      <c r="H77" s="945"/>
      <c r="I77" s="945"/>
      <c r="J77" s="945"/>
      <c r="K77" s="945"/>
      <c r="L77" s="916"/>
      <c r="M77" s="916"/>
      <c r="N77" s="916"/>
      <c r="O77" s="916"/>
      <c r="P77" s="916"/>
      <c r="Q77" s="916"/>
      <c r="R77" s="916"/>
      <c r="S77" s="916"/>
      <c r="T77" s="916"/>
      <c r="U77" s="363"/>
    </row>
    <row r="78" spans="1:21">
      <c r="A78" s="496"/>
      <c r="B78" s="266"/>
      <c r="C78" s="738"/>
      <c r="D78" s="505"/>
      <c r="E78" s="505"/>
      <c r="F78" s="505"/>
      <c r="G78" s="507"/>
      <c r="H78" s="507"/>
      <c r="I78" s="507"/>
      <c r="J78" s="508"/>
      <c r="K78" s="508"/>
      <c r="L78" s="508"/>
      <c r="M78" s="508"/>
      <c r="N78" s="507"/>
      <c r="O78" s="507"/>
      <c r="P78" s="507"/>
      <c r="Q78" s="507"/>
      <c r="R78" s="507"/>
      <c r="S78" s="507"/>
      <c r="T78" s="507"/>
      <c r="U78" s="363"/>
    </row>
    <row r="79" spans="1:21">
      <c r="A79" s="496"/>
      <c r="B79" s="266" t="s">
        <v>119</v>
      </c>
      <c r="C79" s="1492" t="s">
        <v>232</v>
      </c>
      <c r="D79" s="1500"/>
      <c r="E79" s="1500"/>
      <c r="F79" s="1500"/>
      <c r="G79" s="1507" t="str">
        <f>IF(AND(NOT(ISBLANK(Worksheet!G100)),Worksheet!$B$81="Final Child Support Obligation Payable By Father:"),"  Mother is granted judgment against Father in the amount of",IF(AND(NOT(ISBLANK(Worksheet!G100)),Worksheet!$B$81="Final Child Support Obligation Payable By Mother:"),"  Father is granted judgment against Mother in the amount of",IF(NOT(ISBLANK(Worksheet!G100)),"  _____ is granted judgment against _____ in the amount of","  No additional judgment for child support arrears is entered.")))</f>
        <v xml:space="preserve">  No additional judgment for child support arrears is entered.</v>
      </c>
      <c r="H79" s="1500"/>
      <c r="I79" s="1500"/>
      <c r="J79" s="1500"/>
      <c r="K79" s="1500"/>
      <c r="L79" s="1500"/>
      <c r="M79" s="1500"/>
      <c r="N79" s="1500"/>
      <c r="O79" s="1500"/>
      <c r="P79" s="1500"/>
      <c r="Q79" s="1599" t="str">
        <f>IF(ISNUMBER(R54),R54,"")</f>
        <v/>
      </c>
      <c r="R79" s="1601"/>
      <c r="S79" s="1601"/>
      <c r="T79" s="268"/>
      <c r="U79" s="363"/>
    </row>
    <row r="80" spans="1:21">
      <c r="A80" s="496"/>
      <c r="B80" s="266"/>
      <c r="C80" s="1532" t="str">
        <f>IF(NOT(ISBLANK(Worksheet!G100)),"as and for child support arrearages from","")</f>
        <v/>
      </c>
      <c r="D80" s="1500"/>
      <c r="E80" s="1500"/>
      <c r="F80" s="1500"/>
      <c r="G80" s="1500"/>
      <c r="H80" s="1500"/>
      <c r="I80" s="1500"/>
      <c r="J80" s="1604" t="str">
        <f>IF(NOT(ISNUMBER(G55)),"",G55)</f>
        <v/>
      </c>
      <c r="K80" s="1604"/>
      <c r="L80" s="1604"/>
      <c r="M80" s="1605"/>
      <c r="N80" s="1597" t="str">
        <f>IF(NOT(ISBLANK(Worksheet!G100)),"through","")</f>
        <v/>
      </c>
      <c r="O80" s="1598"/>
      <c r="P80" s="1536" t="str">
        <f>IF(NOT(ISNUMBER(M55)),"",M55)</f>
        <v/>
      </c>
      <c r="Q80" s="1536"/>
      <c r="R80" s="1536"/>
      <c r="S80" s="1171"/>
      <c r="T80" s="76"/>
      <c r="U80" s="363"/>
    </row>
    <row r="81" spans="1:21" ht="12.75" customHeight="1">
      <c r="A81" s="496"/>
      <c r="B81" s="266"/>
      <c r="C81" s="1534" t="str">
        <f>IF(AND(NOT(ISBLANK(Worksheet!G100)),NOT(ISBLANK(Worksheet!M102))),"together with interest on said sum at the legal rate of 10% per annum until paid in full plus additional ",IF(NOT(ISBLANK(Worksheet!G100)),"together with interest at the legal rate of 10% per annum until paid in full.",""))</f>
        <v/>
      </c>
      <c r="D81" s="945"/>
      <c r="E81" s="945"/>
      <c r="F81" s="945"/>
      <c r="G81" s="945"/>
      <c r="H81" s="945"/>
      <c r="I81" s="945"/>
      <c r="J81" s="945"/>
      <c r="K81" s="945"/>
      <c r="L81" s="945"/>
      <c r="M81" s="945"/>
      <c r="N81" s="945"/>
      <c r="O81" s="945"/>
      <c r="P81" s="945"/>
      <c r="Q81" s="945"/>
      <c r="R81" s="945"/>
      <c r="S81" s="945"/>
      <c r="T81" s="945"/>
      <c r="U81" s="363"/>
    </row>
    <row r="82" spans="1:21" s="622" customFormat="1" ht="12.75" customHeight="1">
      <c r="A82" s="615"/>
      <c r="B82" s="621"/>
      <c r="C82" s="1534" t="str">
        <f>IF(AND(NOT(ISBLANK(Worksheet!G100)),NOT(ISBLANK(Worksheet!M102))),"accrued interest on prior child support orders of  ","")</f>
        <v/>
      </c>
      <c r="D82" s="916"/>
      <c r="E82" s="916"/>
      <c r="F82" s="916"/>
      <c r="G82" s="916"/>
      <c r="H82" s="916"/>
      <c r="I82" s="916"/>
      <c r="J82" s="916"/>
      <c r="K82" s="1414" t="str">
        <f>IF(AND(NOT(ISBLANK(Worksheet!G100)),NOT(ISBLANK(Worksheet!M102)),ISBLANK(Worksheet!U102)),TEXT(Worksheet!M102,"$  #,##0.00."),IF(AND(NOT(ISBLANK(Worksheet!G100)),NOT(ISBLANK(Worksheet!M102))),Worksheet!M102,""))</f>
        <v/>
      </c>
      <c r="L82" s="1046"/>
      <c r="M82" s="1046"/>
      <c r="N82" s="945" t="str">
        <f>IF(AND(NOT(ISBLANK(Worksheet!G100)),NOT(ISBLANK(Worksheet!M102)),ISNUMBER(Worksheet!U102)),"calculated through","")</f>
        <v/>
      </c>
      <c r="O82" s="945"/>
      <c r="P82" s="945"/>
      <c r="Q82" s="1589" t="str">
        <f>IF(AND(NOT(ISBLANK(Worksheet!G100)),NOT(ISBLANK(Worksheet!M102)),ISNUMBER(Worksheet!U102)),Worksheet!U102,"")</f>
        <v/>
      </c>
      <c r="R82" s="1589"/>
      <c r="S82" s="1589"/>
      <c r="T82" s="1589"/>
      <c r="U82" s="595"/>
    </row>
    <row r="83" spans="1:21">
      <c r="A83" s="496"/>
      <c r="B83" s="266"/>
      <c r="C83" s="506"/>
      <c r="D83" s="620"/>
      <c r="E83" s="620"/>
      <c r="F83" s="620"/>
      <c r="G83" s="620"/>
      <c r="H83" s="620"/>
      <c r="I83" s="620"/>
      <c r="J83" s="368"/>
      <c r="K83" s="368"/>
      <c r="L83" s="368"/>
      <c r="M83" s="368"/>
      <c r="N83" s="368"/>
      <c r="O83" s="368"/>
      <c r="P83" s="368"/>
      <c r="Q83" s="368"/>
      <c r="R83" s="368"/>
      <c r="S83" s="368"/>
      <c r="T83" s="620"/>
      <c r="U83" s="363"/>
    </row>
    <row r="84" spans="1:21" ht="12.75" customHeight="1">
      <c r="A84" s="496"/>
      <c r="B84" s="469" t="s">
        <v>120</v>
      </c>
      <c r="C84" s="1492" t="s">
        <v>317</v>
      </c>
      <c r="D84" s="1500"/>
      <c r="E84" s="1500"/>
      <c r="F84" s="1500"/>
      <c r="G84" s="1532" t="str">
        <f>IF(AND(NOT(ISBLANK(Worksheet!G113)),Worksheet!T113="x"),"Mother is granted judgment against Father in the amount of",IF(AND(NOT(ISBLANK(Worksheet!G113)),NOT(ISBLANK(Worksheet!W113))),"Father is granted judgment against Mother in the amount of","No judgment for paternity expenses is entered."))</f>
        <v>No judgment for paternity expenses is entered.</v>
      </c>
      <c r="H84" s="1500"/>
      <c r="I84" s="1500"/>
      <c r="J84" s="1500"/>
      <c r="K84" s="1500"/>
      <c r="L84" s="1500"/>
      <c r="M84" s="1500"/>
      <c r="N84" s="1500"/>
      <c r="O84" s="1500"/>
      <c r="P84" s="1500"/>
      <c r="Q84" s="1537" t="str">
        <f>IF(NOT(ISBLANK(Worksheet!G113)),Worksheet!M113,"")</f>
        <v/>
      </c>
      <c r="R84" s="1538"/>
      <c r="S84" s="1538"/>
      <c r="T84" s="489"/>
      <c r="U84" s="363"/>
    </row>
    <row r="85" spans="1:21" ht="42.75" customHeight="1">
      <c r="A85" s="496"/>
      <c r="B85" s="469"/>
      <c r="C85" s="1544" t="str">
        <f>IF(AND(NOT(ISBLANK(Worksheet!G113)),ISBLANK(Worksheet!T114)),"as and for actual costs of the pregnancy, childbirth, genetic testing and other related costs, together with interest at the legal rate of 10% per annum until paid in full.",IF(AND(NOT(ISBLANK(Worksheet!G113)),Worksheet!T113="x",NOT(ISBLANK(Worksheet!T114))),"as and for actual costs of the pregnancy, childbirth, genetic testing and other related costs, together with interest at the legal rate of 10% per annum until paid in full.  Father shall pay this judgement in payments of "&amp;TEXT(Worksheet!T114,"$ 0.00")&amp;" per month directly to Mother and not by wage assignment.",IF(AND(NOT(ISBLANK(Worksheet!G113)),NOT(ISBLANK(Worksheet!W113)),NOT(ISBLANK(Worksheet!T114))),"as and for actual costs of the pregnancy, childbirth, genetic testing and other related costs, together with interest at the legal rate of 10% per annum until paid in full.  Mother shall pay this judgement in payments of "&amp;TEXT(Worksheet!T114,"$ 0.00")&amp;" per month directly to Father and not by wage assignment.","")))</f>
        <v/>
      </c>
      <c r="D85" s="1521"/>
      <c r="E85" s="1521"/>
      <c r="F85" s="1521"/>
      <c r="G85" s="1521"/>
      <c r="H85" s="1521"/>
      <c r="I85" s="1521"/>
      <c r="J85" s="1521"/>
      <c r="K85" s="1521"/>
      <c r="L85" s="1521"/>
      <c r="M85" s="1521"/>
      <c r="N85" s="1521"/>
      <c r="O85" s="1521"/>
      <c r="P85" s="1521"/>
      <c r="Q85" s="1521"/>
      <c r="R85" s="1521"/>
      <c r="S85" s="1521"/>
      <c r="T85" s="1521"/>
      <c r="U85" s="595"/>
    </row>
    <row r="86" spans="1:21" ht="14.25" customHeight="1">
      <c r="A86" s="510"/>
      <c r="B86" s="222"/>
      <c r="C86" s="111"/>
      <c r="D86" s="89"/>
      <c r="E86" s="89"/>
      <c r="F86" s="89"/>
      <c r="G86" s="89"/>
      <c r="H86" s="89"/>
      <c r="I86" s="89"/>
      <c r="J86" s="89"/>
      <c r="K86" s="89"/>
      <c r="L86" s="89"/>
      <c r="M86" s="89"/>
      <c r="N86" s="89"/>
      <c r="O86" s="1197" t="s">
        <v>84</v>
      </c>
      <c r="P86" s="1024"/>
      <c r="Q86" s="1545" t="str">
        <f>O5</f>
        <v/>
      </c>
      <c r="R86" s="1171"/>
      <c r="S86" s="1171"/>
      <c r="T86" s="1171"/>
      <c r="U86" s="363"/>
    </row>
    <row r="87" spans="1:21" ht="12.75" customHeight="1">
      <c r="A87" s="496"/>
      <c r="B87" s="266"/>
      <c r="C87" s="268"/>
      <c r="D87" s="117"/>
      <c r="E87" s="117"/>
      <c r="F87" s="117"/>
      <c r="G87" s="117"/>
      <c r="H87" s="117"/>
      <c r="I87" s="117"/>
      <c r="J87" s="117"/>
      <c r="K87" s="210"/>
      <c r="L87" s="212"/>
      <c r="M87" s="212"/>
      <c r="N87" s="212"/>
      <c r="O87" s="212"/>
      <c r="P87" s="212"/>
      <c r="Q87" s="212"/>
      <c r="R87" s="212"/>
      <c r="S87" s="212"/>
      <c r="T87" s="212"/>
      <c r="U87" s="363"/>
    </row>
    <row r="88" spans="1:21" ht="12.75" customHeight="1">
      <c r="A88" s="496"/>
      <c r="B88" s="266" t="s">
        <v>121</v>
      </c>
      <c r="C88" s="1542" t="s">
        <v>409</v>
      </c>
      <c r="D88" s="1500"/>
      <c r="E88" s="1500"/>
      <c r="F88" s="1500"/>
      <c r="G88" s="916"/>
      <c r="H88" s="1500" t="str">
        <f>IF(Worksheet!$B$81="Final Child Support Obligation Payable By Father:","Father shall make total monthly payments to Mother of",IF(Worksheet!$B$81="Final Child Support Obligation Payable By Mother:","Mother shall make total monthly payments to Father of","_____________ shall make total monthly payments of"))</f>
        <v>_____________ shall make total monthly payments of</v>
      </c>
      <c r="I88" s="916"/>
      <c r="J88" s="916"/>
      <c r="K88" s="916"/>
      <c r="L88" s="916"/>
      <c r="M88" s="916"/>
      <c r="N88" s="916"/>
      <c r="O88" s="916"/>
      <c r="P88" s="916"/>
      <c r="Q88" s="1549" t="str">
        <f>IF(ISNUMBER(N98),N98,"")</f>
        <v/>
      </c>
      <c r="R88" s="1549"/>
      <c r="S88" s="1549"/>
      <c r="T88" s="617"/>
      <c r="U88" s="627"/>
    </row>
    <row r="89" spans="1:21" ht="12.75" customHeight="1">
      <c r="A89" s="496"/>
      <c r="B89" s="266"/>
      <c r="C89" s="1506" t="s">
        <v>412</v>
      </c>
      <c r="D89" s="1500"/>
      <c r="E89" s="1500"/>
      <c r="F89" s="1500"/>
      <c r="G89" s="1500"/>
      <c r="H89" s="1500"/>
      <c r="I89" s="1500"/>
      <c r="J89" s="916"/>
      <c r="K89" s="916"/>
      <c r="L89" s="916"/>
      <c r="M89" s="916"/>
      <c r="N89" s="1562" t="str">
        <f>IF(OR(Worksheet!$B$81="Final Child Support Obligation Payable By Father:",Worksheet!B81="Final Child Support Obligation Payable By Mother:"),Worksheet!N129,"")</f>
        <v/>
      </c>
      <c r="O89" s="1562"/>
      <c r="P89" s="1562"/>
      <c r="Q89" s="1562"/>
      <c r="R89" s="1563" t="s">
        <v>413</v>
      </c>
      <c r="S89" s="1448"/>
      <c r="T89" s="1448"/>
      <c r="U89" s="363"/>
    </row>
    <row r="90" spans="1:21" ht="12.75" customHeight="1">
      <c r="A90" s="496"/>
      <c r="B90" s="266"/>
      <c r="C90" s="266"/>
      <c r="D90" s="268"/>
      <c r="E90" s="268"/>
      <c r="F90" s="268"/>
      <c r="G90" s="268"/>
      <c r="H90" s="268"/>
      <c r="I90" s="268"/>
      <c r="J90" s="268"/>
      <c r="K90" s="268"/>
      <c r="L90" s="268"/>
      <c r="M90" s="268"/>
      <c r="N90" s="268"/>
      <c r="O90" s="268"/>
      <c r="P90" s="268"/>
      <c r="Q90" s="268"/>
      <c r="R90" s="268"/>
      <c r="S90" s="268"/>
      <c r="T90" s="268"/>
      <c r="U90" s="363"/>
    </row>
    <row r="91" spans="1:21" ht="12.75" customHeight="1">
      <c r="A91" s="496"/>
      <c r="B91" s="266"/>
      <c r="C91" s="266"/>
      <c r="D91" s="1492" t="s">
        <v>236</v>
      </c>
      <c r="E91" s="1448"/>
      <c r="F91" s="1448"/>
      <c r="G91" s="1448"/>
      <c r="H91" s="1448"/>
      <c r="I91" s="1448"/>
      <c r="J91" s="1448"/>
      <c r="K91" s="1448"/>
      <c r="L91" s="1448"/>
      <c r="M91" s="1448"/>
      <c r="N91" s="1550" t="str">
        <f>IF(NOT(ISBLANK(O71)),O71,"0.00")</f>
        <v/>
      </c>
      <c r="O91" s="1550"/>
      <c r="P91" s="1550"/>
      <c r="Q91" s="268"/>
      <c r="R91" s="268"/>
      <c r="S91" s="268"/>
      <c r="T91" s="268"/>
      <c r="U91" s="363"/>
    </row>
    <row r="92" spans="1:21" s="476" customFormat="1" ht="12.75" customHeight="1">
      <c r="A92" s="496"/>
      <c r="B92" s="469"/>
      <c r="C92" s="469"/>
      <c r="D92" s="1492" t="s">
        <v>421</v>
      </c>
      <c r="E92" s="1448"/>
      <c r="F92" s="1448"/>
      <c r="G92" s="1448"/>
      <c r="H92" s="1448"/>
      <c r="I92" s="1448"/>
      <c r="J92" s="1448"/>
      <c r="K92" s="1448"/>
      <c r="L92" s="1448"/>
      <c r="M92" s="1448"/>
      <c r="N92" s="1541" t="str">
        <f>IF(OR(ISNUMBER(Worksheet!R119),ISNUMBER(Worksheet!R120)),Worksheet!R119+Worksheet!R120,"")</f>
        <v/>
      </c>
      <c r="O92" s="1541"/>
      <c r="P92" s="1541"/>
      <c r="Q92" s="466"/>
      <c r="R92" s="466"/>
      <c r="S92" s="466"/>
      <c r="T92" s="466"/>
      <c r="U92" s="363"/>
    </row>
    <row r="93" spans="1:21" ht="12.75" customHeight="1">
      <c r="A93" s="496"/>
      <c r="B93" s="266"/>
      <c r="C93" s="266"/>
      <c r="D93" s="1492" t="s">
        <v>573</v>
      </c>
      <c r="E93" s="916"/>
      <c r="F93" s="916"/>
      <c r="G93" s="916"/>
      <c r="H93" s="916"/>
      <c r="I93" s="916"/>
      <c r="J93" s="916"/>
      <c r="K93" s="916"/>
      <c r="L93" s="916"/>
      <c r="M93" s="916"/>
      <c r="N93" s="1541" t="str">
        <f>IF(NOT(ISBLANK(Worksheet!T114)),Worksheet!T114,"")</f>
        <v/>
      </c>
      <c r="O93" s="1541"/>
      <c r="P93" s="1541"/>
      <c r="Q93" s="268"/>
      <c r="R93" s="268"/>
      <c r="S93" s="268"/>
      <c r="T93" s="268"/>
      <c r="U93" s="363"/>
    </row>
    <row r="94" spans="1:21" ht="12.75" customHeight="1">
      <c r="A94" s="496"/>
      <c r="B94" s="266"/>
      <c r="C94" s="266"/>
      <c r="D94" s="1492" t="s">
        <v>324</v>
      </c>
      <c r="E94" s="1448"/>
      <c r="F94" s="1448"/>
      <c r="G94" s="1448"/>
      <c r="H94" s="1448"/>
      <c r="I94" s="1448"/>
      <c r="J94" s="1448"/>
      <c r="K94" s="1448"/>
      <c r="L94" s="1448"/>
      <c r="M94" s="1448"/>
      <c r="N94" s="1541" t="str">
        <f>IF(NOT(ISBLANK(Worksheet!R122)),Worksheet!R122,"")</f>
        <v/>
      </c>
      <c r="O94" s="1541"/>
      <c r="P94" s="1541"/>
      <c r="Q94" s="268"/>
      <c r="R94" s="268"/>
      <c r="S94" s="268"/>
      <c r="T94" s="268"/>
      <c r="U94" s="363"/>
    </row>
    <row r="95" spans="1:21" ht="12.75" customHeight="1">
      <c r="A95" s="496"/>
      <c r="B95" s="266"/>
      <c r="C95" s="266"/>
      <c r="D95" s="1492" t="s">
        <v>323</v>
      </c>
      <c r="E95" s="1448"/>
      <c r="F95" s="1448"/>
      <c r="G95" s="1448"/>
      <c r="H95" s="1448"/>
      <c r="I95" s="1448"/>
      <c r="J95" s="1448"/>
      <c r="K95" s="1448"/>
      <c r="L95" s="1448"/>
      <c r="M95" s="1448"/>
      <c r="N95" s="1541" t="str">
        <f>IF(NOT(ISBLANK(Worksheet!R123)),Worksheet!R123,"")</f>
        <v/>
      </c>
      <c r="O95" s="1541"/>
      <c r="P95" s="1541"/>
      <c r="Q95" s="268"/>
      <c r="R95" s="268"/>
      <c r="S95" s="268"/>
      <c r="T95" s="268"/>
      <c r="U95" s="363"/>
    </row>
    <row r="96" spans="1:21" s="788" customFormat="1" ht="12.75" customHeight="1">
      <c r="A96" s="782"/>
      <c r="B96" s="787"/>
      <c r="C96" s="787"/>
      <c r="D96" s="1492" t="s">
        <v>634</v>
      </c>
      <c r="E96" s="1448"/>
      <c r="F96" s="1448"/>
      <c r="G96" s="1448"/>
      <c r="H96" s="1448"/>
      <c r="I96" s="1448"/>
      <c r="J96" s="1448"/>
      <c r="K96" s="1448"/>
      <c r="L96" s="1448"/>
      <c r="M96" s="1448"/>
      <c r="N96" s="1541">
        <f>IF(NOT(ISBLANK(Worksheet!R124)),Worksheet!R124,"")</f>
        <v>0</v>
      </c>
      <c r="O96" s="1541"/>
      <c r="P96" s="1541"/>
      <c r="Q96" s="786"/>
      <c r="R96" s="786"/>
      <c r="S96" s="786"/>
      <c r="T96" s="786"/>
      <c r="U96" s="363"/>
    </row>
    <row r="97" spans="1:21" ht="12.75" customHeight="1">
      <c r="A97" s="496"/>
      <c r="B97" s="266"/>
      <c r="C97" s="266"/>
      <c r="D97" s="1492" t="s">
        <v>240</v>
      </c>
      <c r="E97" s="1448"/>
      <c r="F97" s="1448"/>
      <c r="G97" s="1448"/>
      <c r="H97" s="1448"/>
      <c r="I97" s="1448"/>
      <c r="J97" s="1448"/>
      <c r="K97" s="1448"/>
      <c r="L97" s="1448"/>
      <c r="M97" s="1448"/>
      <c r="N97" s="1540">
        <f>County!$D$34</f>
        <v>5</v>
      </c>
      <c r="O97" s="1541"/>
      <c r="P97" s="1541"/>
      <c r="Q97" s="268"/>
      <c r="R97" s="268"/>
      <c r="S97" s="268"/>
      <c r="T97" s="268"/>
      <c r="U97" s="363"/>
    </row>
    <row r="98" spans="1:21" ht="12.75" customHeight="1" thickBot="1">
      <c r="A98" s="496"/>
      <c r="B98" s="266"/>
      <c r="C98" s="266"/>
      <c r="D98" s="270"/>
      <c r="E98" s="1492" t="s">
        <v>237</v>
      </c>
      <c r="F98" s="1448"/>
      <c r="G98" s="1448"/>
      <c r="H98" s="1448"/>
      <c r="I98" s="1448"/>
      <c r="J98" s="1448"/>
      <c r="K98" s="1448"/>
      <c r="L98" s="1448"/>
      <c r="M98" s="1448"/>
      <c r="N98" s="1593" t="str">
        <f>IF(SUM(N91:N97)=N97,"",SUM(N91:N97))</f>
        <v/>
      </c>
      <c r="O98" s="1593"/>
      <c r="P98" s="1593"/>
      <c r="Q98" s="268"/>
      <c r="R98" s="268"/>
      <c r="S98" s="268"/>
      <c r="T98" s="268"/>
      <c r="U98" s="363"/>
    </row>
    <row r="99" spans="1:21" s="788" customFormat="1" ht="12.75" customHeight="1" thickTop="1" thickBot="1">
      <c r="A99" s="782"/>
      <c r="B99" s="787"/>
      <c r="C99" s="787"/>
      <c r="D99" s="785"/>
      <c r="E99" s="1492" t="s">
        <v>571</v>
      </c>
      <c r="F99" s="1448"/>
      <c r="G99" s="1448"/>
      <c r="H99" s="1448"/>
      <c r="I99" s="1448"/>
      <c r="J99" s="1448"/>
      <c r="K99" s="1448"/>
      <c r="L99" s="1448"/>
      <c r="M99" s="1448"/>
      <c r="N99" s="1593" t="str">
        <f>IF(ISNUMBER(N93),N98-N93,N98)</f>
        <v/>
      </c>
      <c r="O99" s="1593"/>
      <c r="P99" s="1593"/>
      <c r="Q99" s="786"/>
      <c r="R99" s="786"/>
      <c r="S99" s="786"/>
      <c r="T99" s="786"/>
      <c r="U99" s="363"/>
    </row>
    <row r="100" spans="1:21" ht="13.5" thickTop="1">
      <c r="A100" s="496"/>
      <c r="B100" s="266"/>
      <c r="C100" s="266"/>
      <c r="D100" s="268"/>
      <c r="E100" s="268"/>
      <c r="F100" s="268"/>
      <c r="G100" s="268"/>
      <c r="H100" s="268"/>
      <c r="I100" s="268"/>
      <c r="J100" s="268"/>
      <c r="K100" s="268"/>
      <c r="L100" s="268"/>
      <c r="M100" s="268"/>
      <c r="N100" s="268"/>
      <c r="O100" s="268"/>
      <c r="P100" s="268"/>
      <c r="Q100" s="268"/>
      <c r="R100" s="268"/>
      <c r="S100" s="268"/>
      <c r="T100" s="268"/>
      <c r="U100" s="363"/>
    </row>
    <row r="101" spans="1:21" ht="12.75" customHeight="1">
      <c r="A101" s="496"/>
      <c r="B101" s="266" t="s">
        <v>122</v>
      </c>
      <c r="C101" s="1539" t="s">
        <v>335</v>
      </c>
      <c r="D101" s="1446"/>
      <c r="E101" s="1446"/>
      <c r="F101" s="1446"/>
      <c r="G101" s="1446"/>
      <c r="H101" s="1446"/>
      <c r="I101" s="1446"/>
      <c r="J101" s="1446"/>
      <c r="K101" s="1446"/>
      <c r="L101" s="1446"/>
      <c r="M101" s="1446"/>
      <c r="N101" s="1446"/>
      <c r="O101" s="1446"/>
      <c r="P101" s="1446"/>
      <c r="Q101" s="1446"/>
      <c r="R101" s="1446"/>
      <c r="S101" s="1446"/>
      <c r="T101" s="1446"/>
      <c r="U101" s="363"/>
    </row>
    <row r="102" spans="1:21" s="487" customFormat="1" ht="25.5" customHeight="1">
      <c r="A102" s="496"/>
      <c r="B102" s="486"/>
      <c r="C102" s="1560" t="str">
        <f>IF(ISNUMBER(N93),"an Order of Assignment signed this date, except payments on a Paternity Expenses Judgment paid directly.  Any time the full amount of support ordered is not withheld, Obligor remains responsible for the full","an Order of Assignment signed this date.  Any time the full amount of support ordered is not withheld, Obligor remains responsible for the full monthly amount ordered.  Payments not made directly through the")</f>
        <v>an Order of Assignment signed this date.  Any time the full amount of support ordered is not withheld, Obligor remains responsible for the full monthly amount ordered.  Payments not made directly through the</v>
      </c>
      <c r="D102" s="1561"/>
      <c r="E102" s="1561"/>
      <c r="F102" s="1561"/>
      <c r="G102" s="1561"/>
      <c r="H102" s="1561"/>
      <c r="I102" s="1561"/>
      <c r="J102" s="1561"/>
      <c r="K102" s="1561"/>
      <c r="L102" s="1561"/>
      <c r="M102" s="1561"/>
      <c r="N102" s="1561"/>
      <c r="O102" s="1561"/>
      <c r="P102" s="1561"/>
      <c r="Q102" s="1561"/>
      <c r="R102" s="1561"/>
      <c r="S102" s="1561"/>
      <c r="T102" s="1561"/>
      <c r="U102" s="595"/>
    </row>
    <row r="103" spans="1:21" s="487" customFormat="1" ht="30" customHeight="1">
      <c r="A103" s="496"/>
      <c r="B103" s="486"/>
      <c r="C103" s="1560" t="str">
        <f>IF(ISNUMBER(N93),"monthly amount ordered.  Payments not made directly through the Support Payment Clearinghouse shall be considered gifts unless otherwise ordered.  All payments shall be made payable to and mailed directly to:","Support Payment Clearinghouse shall be considered gifts unless otherwise ordered.  All payments shall be made payable to and mailed directly to:")</f>
        <v>Support Payment Clearinghouse shall be considered gifts unless otherwise ordered.  All payments shall be made payable to and mailed directly to:</v>
      </c>
      <c r="D103" s="1561"/>
      <c r="E103" s="1561"/>
      <c r="F103" s="1561"/>
      <c r="G103" s="1561"/>
      <c r="H103" s="1561"/>
      <c r="I103" s="1561"/>
      <c r="J103" s="1561"/>
      <c r="K103" s="1561"/>
      <c r="L103" s="1561"/>
      <c r="M103" s="1561"/>
      <c r="N103" s="1561"/>
      <c r="O103" s="1561"/>
      <c r="P103" s="1561"/>
      <c r="Q103" s="1561"/>
      <c r="R103" s="1561"/>
      <c r="S103" s="1561"/>
      <c r="T103" s="1561"/>
      <c r="U103" s="363"/>
    </row>
    <row r="104" spans="1:21">
      <c r="A104" s="496"/>
      <c r="B104" s="266"/>
      <c r="C104" s="266"/>
      <c r="D104" s="268"/>
      <c r="E104" s="268"/>
      <c r="F104" s="268"/>
      <c r="G104" s="268"/>
      <c r="H104" s="1492" t="s">
        <v>103</v>
      </c>
      <c r="I104" s="1492"/>
      <c r="J104" s="1492"/>
      <c r="K104" s="1492"/>
      <c r="L104" s="1492"/>
      <c r="M104" s="1492"/>
      <c r="N104" s="1532"/>
      <c r="O104" s="268"/>
      <c r="P104" s="268"/>
      <c r="Q104" s="268"/>
      <c r="R104" s="268"/>
      <c r="S104" s="268"/>
      <c r="T104" s="268"/>
      <c r="U104" s="363"/>
    </row>
    <row r="105" spans="1:21">
      <c r="A105" s="496"/>
      <c r="B105" s="266"/>
      <c r="C105" s="266"/>
      <c r="D105" s="268"/>
      <c r="E105" s="268"/>
      <c r="F105" s="268"/>
      <c r="G105" s="268"/>
      <c r="H105" s="1492" t="s">
        <v>104</v>
      </c>
      <c r="I105" s="1492"/>
      <c r="J105" s="1492"/>
      <c r="K105" s="1492"/>
      <c r="L105" s="1492"/>
      <c r="M105" s="1492"/>
      <c r="N105" s="1532"/>
      <c r="O105" s="268"/>
      <c r="P105" s="268"/>
      <c r="Q105" s="268"/>
      <c r="R105" s="268"/>
      <c r="S105" s="268"/>
      <c r="T105" s="268"/>
      <c r="U105" s="363"/>
    </row>
    <row r="106" spans="1:21">
      <c r="A106" s="496"/>
      <c r="B106" s="266"/>
      <c r="C106" s="266"/>
      <c r="D106" s="268"/>
      <c r="E106" s="268"/>
      <c r="F106" s="268"/>
      <c r="G106" s="268"/>
      <c r="H106" s="1492" t="s">
        <v>105</v>
      </c>
      <c r="I106" s="1492"/>
      <c r="J106" s="1492"/>
      <c r="K106" s="1492"/>
      <c r="L106" s="1492"/>
      <c r="M106" s="1492"/>
      <c r="N106" s="1532"/>
      <c r="O106" s="268"/>
      <c r="P106" s="268"/>
      <c r="Q106" s="268"/>
      <c r="R106" s="268"/>
      <c r="S106" s="268"/>
      <c r="T106" s="268"/>
      <c r="U106" s="363"/>
    </row>
    <row r="107" spans="1:21" ht="9" customHeight="1">
      <c r="A107" s="496"/>
      <c r="B107" s="266"/>
      <c r="C107" s="266"/>
      <c r="D107" s="268"/>
      <c r="E107" s="268"/>
      <c r="F107" s="268"/>
      <c r="G107" s="268"/>
      <c r="H107" s="268"/>
      <c r="I107" s="268"/>
      <c r="J107" s="268"/>
      <c r="K107" s="268"/>
      <c r="L107" s="268"/>
      <c r="M107" s="268"/>
      <c r="N107" s="268"/>
      <c r="O107" s="268"/>
      <c r="P107" s="268"/>
      <c r="Q107" s="268"/>
      <c r="R107" s="268"/>
      <c r="S107" s="268"/>
      <c r="T107" s="268"/>
      <c r="U107" s="363"/>
    </row>
    <row r="108" spans="1:21">
      <c r="A108" s="496"/>
      <c r="B108" s="266"/>
      <c r="C108" s="1492" t="str">
        <f>IF(Worksheet!$B$81="Final Child Support Obligation Payable By Father:","Payments must include Father's name, ATLAS number, and Social Security Number.",IF(Worksheet!$B$81="Final Child Support Obligation Payable By Mother:","Payments must include Mother's name, ATLAS number, and Social Security Number.","Payments must include the obligor's name, ATLAS number, and Social Security Number."))</f>
        <v>Payments must include the obligor's name, ATLAS number, and Social Security Number.</v>
      </c>
      <c r="D108" s="1492"/>
      <c r="E108" s="1492"/>
      <c r="F108" s="1492"/>
      <c r="G108" s="1492"/>
      <c r="H108" s="1492"/>
      <c r="I108" s="1492"/>
      <c r="J108" s="1492"/>
      <c r="K108" s="1492"/>
      <c r="L108" s="1492"/>
      <c r="M108" s="1492"/>
      <c r="N108" s="1492"/>
      <c r="O108" s="1492"/>
      <c r="P108" s="1492"/>
      <c r="Q108" s="1492"/>
      <c r="R108" s="1492"/>
      <c r="S108" s="1492"/>
      <c r="T108" s="1492"/>
      <c r="U108" s="363"/>
    </row>
    <row r="109" spans="1:21">
      <c r="A109" s="496"/>
      <c r="B109" s="266"/>
      <c r="C109" s="266"/>
      <c r="D109" s="268"/>
      <c r="E109" s="268"/>
      <c r="F109" s="268"/>
      <c r="G109" s="268"/>
      <c r="H109" s="268"/>
      <c r="I109" s="268"/>
      <c r="J109" s="268"/>
      <c r="K109" s="268"/>
      <c r="L109" s="268"/>
      <c r="M109" s="268"/>
      <c r="N109" s="268"/>
      <c r="O109" s="268"/>
      <c r="P109" s="268"/>
      <c r="Q109" s="268"/>
      <c r="R109" s="268"/>
      <c r="S109" s="268"/>
      <c r="T109" s="268"/>
      <c r="U109" s="363"/>
    </row>
    <row r="110" spans="1:21" ht="12.75" customHeight="1">
      <c r="A110" s="496"/>
      <c r="B110" s="266" t="s">
        <v>123</v>
      </c>
      <c r="C110" s="1492" t="s">
        <v>336</v>
      </c>
      <c r="D110" s="1448"/>
      <c r="E110" s="1448"/>
      <c r="F110" s="1448"/>
      <c r="G110" s="1448"/>
      <c r="H110" s="1448"/>
      <c r="I110" s="1448"/>
      <c r="J110" s="1448"/>
      <c r="K110" s="1448"/>
      <c r="L110" s="1448"/>
      <c r="M110" s="1448"/>
      <c r="N110" s="1448"/>
      <c r="O110" s="1448"/>
      <c r="P110" s="1448"/>
      <c r="Q110" s="1448"/>
      <c r="R110" s="1448"/>
      <c r="S110" s="1448"/>
      <c r="T110" s="1448"/>
      <c r="U110" s="363"/>
    </row>
    <row r="111" spans="1:21" s="487" customFormat="1" ht="12.75" customHeight="1">
      <c r="A111" s="496"/>
      <c r="B111" s="486"/>
      <c r="C111" s="1563" t="str">
        <f>IF(Worksheet!$B$81="Final Child Support Obligation Payable By Father:","the Clerk of the Superior Court and the Support Payment Clearinghouse immediately.  Father shall submit",IF(Worksheet!$B$81="Final Child Support Obligation Payable By Mother:","the Clerk of the Superior Court and the Support Payment Clearinghouse immediately.  Mother shall submit","the Clerk of the Superior Court and the Support Payment Clearinghouse immediately.  The obligor shall submit"))</f>
        <v>the Clerk of the Superior Court and the Support Payment Clearinghouse immediately.  The obligor shall submit</v>
      </c>
      <c r="D111" s="1448"/>
      <c r="E111" s="1448"/>
      <c r="F111" s="1448"/>
      <c r="G111" s="1448"/>
      <c r="H111" s="1448"/>
      <c r="I111" s="1448"/>
      <c r="J111" s="1448"/>
      <c r="K111" s="1448"/>
      <c r="L111" s="1448"/>
      <c r="M111" s="1448"/>
      <c r="N111" s="1448"/>
      <c r="O111" s="1448"/>
      <c r="P111" s="1448"/>
      <c r="Q111" s="1448"/>
      <c r="R111" s="1448"/>
      <c r="S111" s="1448"/>
      <c r="T111" s="1448"/>
      <c r="U111" s="363"/>
    </row>
    <row r="112" spans="1:21" s="487" customFormat="1" ht="25.5" customHeight="1">
      <c r="A112" s="496"/>
      <c r="B112" s="486"/>
      <c r="C112" s="1560" t="str">
        <f>IF(Worksheet!$B$81="Final Child Support Obligation Payable By Father:","the names and addresses of Father's employers or other payors within 10 days.  The parties shall submit address changes within 10 days of the change.",IF(Worksheet!$B$81="Final Child Support Obligation Payable By Mother:","the names and addresses of Mother's employers or other payors within 10 days.  The parties shall submit address changes within 10 days of the change.","the names and addresses of the obligor's employers or other payors within 10 days.  The parties shall submit address changes within 10 days of the change."))</f>
        <v>the names and addresses of the obligor's employers or other payors within 10 days.  The parties shall submit address changes within 10 days of the change.</v>
      </c>
      <c r="D112" s="1446"/>
      <c r="E112" s="1446"/>
      <c r="F112" s="1446"/>
      <c r="G112" s="1446"/>
      <c r="H112" s="1446"/>
      <c r="I112" s="1446"/>
      <c r="J112" s="1446"/>
      <c r="K112" s="1446"/>
      <c r="L112" s="1446"/>
      <c r="M112" s="1446"/>
      <c r="N112" s="1446"/>
      <c r="O112" s="1446"/>
      <c r="P112" s="1446"/>
      <c r="Q112" s="1446"/>
      <c r="R112" s="1446"/>
      <c r="S112" s="1446"/>
      <c r="T112" s="1446"/>
      <c r="U112" s="363"/>
    </row>
    <row r="113" spans="1:21">
      <c r="A113" s="496"/>
      <c r="B113" s="266"/>
      <c r="C113" s="435"/>
      <c r="D113" s="268"/>
      <c r="E113" s="268"/>
      <c r="F113" s="268"/>
      <c r="G113" s="268"/>
      <c r="H113" s="268"/>
      <c r="I113" s="268"/>
      <c r="J113" s="268"/>
      <c r="K113" s="268"/>
      <c r="L113" s="268"/>
      <c r="M113" s="268"/>
      <c r="N113" s="268"/>
      <c r="O113" s="268"/>
      <c r="P113" s="268"/>
      <c r="Q113" s="268"/>
      <c r="R113" s="268"/>
      <c r="S113" s="268"/>
      <c r="T113" s="268"/>
      <c r="U113" s="363"/>
    </row>
    <row r="114" spans="1:21" ht="12.75" customHeight="1">
      <c r="A114" s="496"/>
      <c r="B114" s="266" t="s">
        <v>227</v>
      </c>
      <c r="C114" s="1471" t="s">
        <v>313</v>
      </c>
      <c r="D114" s="1471"/>
      <c r="E114" s="916"/>
      <c r="F114" s="916"/>
      <c r="G114" s="1532" t="str">
        <f>IF(AND(NOT(ISBLANK(Worksheet!$U$62)),NOT(ISBLANK(Worksheet!$Y$62))),"Both Father and Mother are responsible for providing medical insurance for the minor",IF(OR(NOT(ISBLANK(Worksheet!$U$62)),Worksheet!$H$134="x"),"Father shall be individually responsible for providing medical insurance for the minor",IF(OR(NOT(ISBLANK(Worksheet!$Y$62)),NOT(ISBLANK(Worksheet!$H$135))),"Mother shall be individually responsible for providing medical insurance for the minor","Both Father and Mother are responsible to provide medical insurance for the minor")))</f>
        <v>Both Father and Mother are responsible to provide medical insurance for the minor</v>
      </c>
      <c r="H114" s="916"/>
      <c r="I114" s="916"/>
      <c r="J114" s="916"/>
      <c r="K114" s="916"/>
      <c r="L114" s="916"/>
      <c r="M114" s="916"/>
      <c r="N114" s="916"/>
      <c r="O114" s="916"/>
      <c r="P114" s="916"/>
      <c r="Q114" s="916"/>
      <c r="R114" s="916"/>
      <c r="S114" s="916"/>
      <c r="T114" s="916"/>
      <c r="U114" s="363"/>
    </row>
    <row r="115" spans="1:21" s="428" customFormat="1" ht="26.25" customHeight="1">
      <c r="A115" s="496"/>
      <c r="B115" s="427"/>
      <c r="C115" s="1544" t="str">
        <f>IF(AND(Worksheet!$U$44=1,OR(NOT(ISBLANK(Worksheet!$U$62)),NOT(ISBLANK(Worksheet!$Y$62)))),"child, and shall continue to pay premiums for any medical, dental and vision policies covering the child that are currently in existence.",IF(AND(Worksheet!$U$44&gt;1,OR(NOT(ISBLANK(Worksheet!$U$62)),NOT(ISBLANK(Worksheet!$Y$62)))),"children, and shall continue to pay premiums for any medical, dental and vision policies covering the children that are currently in existence.",IF(OR(NOT(ISBLANK(Worksheet!$G$133)),Worksheet!$H$134="x",Worksheet!$H$135="x"),"child(ren) of the parties as soon as it becomes accessible and available at a reasonable cost, as neither parent currently has the ability to obtain such medical insurance.","any minor child of the parties as soon as it becomes accessible and available at a reasonable cost.")))</f>
        <v>child(ren) of the parties as soon as it becomes accessible and available at a reasonable cost, as neither parent currently has the ability to obtain such medical insurance.</v>
      </c>
      <c r="D115" s="1153"/>
      <c r="E115" s="1153"/>
      <c r="F115" s="1153"/>
      <c r="G115" s="1153"/>
      <c r="H115" s="1153"/>
      <c r="I115" s="1153"/>
      <c r="J115" s="1153"/>
      <c r="K115" s="1153"/>
      <c r="L115" s="1153"/>
      <c r="M115" s="1153"/>
      <c r="N115" s="1153"/>
      <c r="O115" s="1153"/>
      <c r="P115" s="1153"/>
      <c r="Q115" s="1153"/>
      <c r="R115" s="1153"/>
      <c r="S115" s="1153"/>
      <c r="T115" s="1153"/>
      <c r="U115" s="363"/>
    </row>
    <row r="116" spans="1:21">
      <c r="A116" s="496"/>
      <c r="B116" s="518"/>
      <c r="C116" s="266"/>
      <c r="D116" s="268"/>
      <c r="E116" s="268"/>
      <c r="F116" s="268"/>
      <c r="G116" s="268"/>
      <c r="H116" s="268"/>
      <c r="I116" s="268"/>
      <c r="J116" s="268"/>
      <c r="K116" s="268"/>
      <c r="L116" s="268"/>
      <c r="M116" s="268"/>
      <c r="N116" s="268"/>
      <c r="O116" s="268"/>
      <c r="P116" s="268"/>
      <c r="Q116" s="268"/>
      <c r="R116" s="268"/>
      <c r="S116" s="268"/>
      <c r="T116" s="268"/>
      <c r="U116" s="363"/>
    </row>
    <row r="117" spans="1:21" s="112" customFormat="1" ht="28.5" customHeight="1">
      <c r="A117" s="496"/>
      <c r="B117" s="328" t="s">
        <v>229</v>
      </c>
      <c r="C117" s="1539" t="s">
        <v>261</v>
      </c>
      <c r="D117" s="1521"/>
      <c r="E117" s="1521"/>
      <c r="F117" s="1521"/>
      <c r="G117" s="1521"/>
      <c r="H117" s="1521"/>
      <c r="I117" s="1521"/>
      <c r="J117" s="1521"/>
      <c r="K117" s="1521"/>
      <c r="L117" s="1521"/>
      <c r="M117" s="1521"/>
      <c r="N117" s="1521"/>
      <c r="O117" s="1521"/>
      <c r="P117" s="1521"/>
      <c r="Q117" s="1521"/>
      <c r="R117" s="1521"/>
      <c r="S117" s="1521"/>
      <c r="T117" s="1521"/>
      <c r="U117" s="623"/>
    </row>
    <row r="118" spans="1:21">
      <c r="A118" s="496"/>
      <c r="B118" s="266"/>
      <c r="C118" s="266"/>
      <c r="D118" s="268"/>
      <c r="E118" s="1543" t="s">
        <v>30</v>
      </c>
      <c r="F118" s="1500"/>
      <c r="G118" s="1551" t="str">
        <f>IF(ISNUMBER(Worksheet!I137),ROUND(Worksheet!I137,2),"")</f>
        <v/>
      </c>
      <c r="H118" s="1171"/>
      <c r="I118" s="282"/>
      <c r="J118" s="76"/>
      <c r="K118" s="268"/>
      <c r="L118" s="282" t="s">
        <v>31</v>
      </c>
      <c r="M118" s="1551" t="str">
        <f>IF(ISNUMBER(Worksheet!N137),ROUND(Worksheet!N137,2),"")</f>
        <v/>
      </c>
      <c r="N118" s="1171"/>
      <c r="O118" s="282"/>
      <c r="P118" s="76"/>
      <c r="Q118" s="285"/>
      <c r="R118" s="268"/>
      <c r="S118" s="268"/>
      <c r="T118" s="268"/>
      <c r="U118" s="363"/>
    </row>
    <row r="119" spans="1:21">
      <c r="A119" s="496"/>
      <c r="B119" s="266"/>
      <c r="C119" s="266"/>
      <c r="D119" s="268"/>
      <c r="E119" s="268"/>
      <c r="F119" s="268"/>
      <c r="G119" s="268"/>
      <c r="H119" s="268"/>
      <c r="I119" s="268"/>
      <c r="J119" s="286"/>
      <c r="K119" s="286"/>
      <c r="L119" s="268"/>
      <c r="M119" s="268"/>
      <c r="N119" s="268"/>
      <c r="O119" s="268"/>
      <c r="P119" s="286"/>
      <c r="Q119" s="286"/>
      <c r="R119" s="268"/>
      <c r="S119" s="268"/>
      <c r="T119" s="268"/>
      <c r="U119" s="363"/>
    </row>
    <row r="120" spans="1:21">
      <c r="A120" s="496"/>
      <c r="B120" s="266" t="s">
        <v>230</v>
      </c>
      <c r="C120" s="1492" t="s">
        <v>260</v>
      </c>
      <c r="D120" s="1448"/>
      <c r="E120" s="1448"/>
      <c r="F120" s="1448"/>
      <c r="G120" s="1448"/>
      <c r="H120" s="1448"/>
      <c r="I120" s="1448"/>
      <c r="J120" s="1448"/>
      <c r="K120" s="1448"/>
      <c r="L120" s="1448"/>
      <c r="M120" s="1448"/>
      <c r="N120" s="1448"/>
      <c r="O120" s="1448"/>
      <c r="P120" s="1448"/>
      <c r="Q120" s="1448"/>
      <c r="R120" s="1448"/>
      <c r="S120" s="1448"/>
      <c r="T120" s="1448"/>
      <c r="U120" s="363"/>
    </row>
    <row r="121" spans="1:21">
      <c r="A121" s="496"/>
      <c r="B121" s="266"/>
      <c r="C121" s="266"/>
      <c r="D121" s="268"/>
      <c r="E121" s="268"/>
      <c r="F121" s="268"/>
      <c r="G121" s="268"/>
      <c r="H121" s="282"/>
      <c r="I121" s="282"/>
      <c r="J121" s="76"/>
      <c r="K121" s="76"/>
      <c r="L121" s="268"/>
      <c r="M121" s="283"/>
      <c r="N121" s="283"/>
      <c r="O121" s="268"/>
      <c r="P121" s="284"/>
      <c r="Q121" s="284"/>
      <c r="R121" s="268"/>
      <c r="S121" s="268"/>
      <c r="T121" s="268"/>
      <c r="U121" s="363"/>
    </row>
    <row r="122" spans="1:21">
      <c r="A122" s="496"/>
      <c r="B122" s="266"/>
      <c r="C122" s="266"/>
      <c r="D122" s="268"/>
      <c r="E122" s="1543" t="s">
        <v>30</v>
      </c>
      <c r="F122" s="1500"/>
      <c r="G122" s="1551" t="str">
        <f>IF(ISNUMBER(Worksheet!I139),ROUND(Worksheet!I139,2),"")</f>
        <v/>
      </c>
      <c r="H122" s="1171"/>
      <c r="I122" s="282"/>
      <c r="J122" s="76"/>
      <c r="K122" s="268"/>
      <c r="L122" s="282" t="s">
        <v>31</v>
      </c>
      <c r="M122" s="1551" t="str">
        <f>IF(ISNUMBER(Worksheet!N139),ROUND(Worksheet!N139,2),"")</f>
        <v/>
      </c>
      <c r="N122" s="1171"/>
      <c r="O122" s="282"/>
      <c r="P122" s="76"/>
      <c r="Q122" s="285"/>
      <c r="R122" s="268"/>
      <c r="S122" s="268"/>
      <c r="T122" s="268"/>
      <c r="U122" s="363"/>
    </row>
    <row r="123" spans="1:21">
      <c r="A123" s="496"/>
      <c r="B123" s="266"/>
      <c r="C123" s="266"/>
      <c r="D123" s="268"/>
      <c r="E123" s="268"/>
      <c r="F123" s="268"/>
      <c r="G123" s="268"/>
      <c r="H123" s="268"/>
      <c r="I123" s="268"/>
      <c r="J123" s="268"/>
      <c r="K123" s="268"/>
      <c r="L123" s="268"/>
      <c r="M123" s="268"/>
      <c r="N123" s="268"/>
      <c r="O123" s="268"/>
      <c r="P123" s="268"/>
      <c r="Q123" s="268"/>
      <c r="R123" s="268"/>
      <c r="S123" s="268"/>
      <c r="T123" s="268"/>
      <c r="U123" s="363"/>
    </row>
    <row r="124" spans="1:21" ht="12.75" customHeight="1">
      <c r="A124" s="496"/>
      <c r="B124" s="435" t="s">
        <v>231</v>
      </c>
      <c r="C124" s="1384" t="s">
        <v>258</v>
      </c>
      <c r="D124" s="916"/>
      <c r="E124" s="916"/>
      <c r="F124" s="1544" t="str">
        <f>IF(Tax!D5=1," The federal and state tax exemptions for the dependent child are allocated as follows:"," The federal and state tax exemptions for the dependent children are allocated as follows:")</f>
        <v xml:space="preserve"> The federal and state tax exemptions for the dependent children are allocated as follows:</v>
      </c>
      <c r="G124" s="1448"/>
      <c r="H124" s="1448"/>
      <c r="I124" s="1448"/>
      <c r="J124" s="1448"/>
      <c r="K124" s="1448"/>
      <c r="L124" s="1448"/>
      <c r="M124" s="1448"/>
      <c r="N124" s="1448"/>
      <c r="O124" s="1448"/>
      <c r="P124" s="1448"/>
      <c r="Q124" s="1448"/>
      <c r="R124" s="1448"/>
      <c r="S124" s="1448"/>
      <c r="T124" s="1448"/>
      <c r="U124" s="363"/>
    </row>
    <row r="125" spans="1:21">
      <c r="A125" s="496"/>
      <c r="B125" s="266"/>
      <c r="C125" s="266"/>
      <c r="D125" s="91"/>
      <c r="E125" s="91"/>
      <c r="F125" s="91"/>
      <c r="G125" s="91"/>
      <c r="H125" s="91"/>
      <c r="I125" s="91"/>
      <c r="J125" s="91"/>
      <c r="K125" s="91"/>
      <c r="L125" s="91"/>
      <c r="M125" s="91"/>
      <c r="N125" s="91"/>
      <c r="O125" s="91"/>
      <c r="P125" s="91"/>
      <c r="Q125" s="91"/>
      <c r="R125" s="91"/>
      <c r="S125" s="91"/>
      <c r="T125" s="91"/>
      <c r="U125" s="363"/>
    </row>
    <row r="126" spans="1:21" ht="12.75" customHeight="1">
      <c r="A126" s="496"/>
      <c r="B126" s="266"/>
      <c r="C126" s="1513" t="s">
        <v>159</v>
      </c>
      <c r="D126" s="1514"/>
      <c r="E126" s="1515"/>
      <c r="F126" s="1515"/>
      <c r="G126" s="1516"/>
      <c r="H126" s="1009" t="str">
        <f>IF(AND(NOT(ISNUMBER(H128)),NOT(ISNUMBER(H129)),NOT(ISNUMBER(H130)),NOT(ISNUMBER(H131)),NOT(ISNUMBER(H132)),NOT(ISNUMBER(H133)),OR(ISNUMBER(G128),ISNUMBER(G129),ISNUMBER(G130),ISNUMBER(G131),ISNUMBER(G132),ISNUMBER(G133))),"Age",M21)</f>
        <v>Date of Birth</v>
      </c>
      <c r="I126" s="1525"/>
      <c r="J126" s="995" t="s">
        <v>165</v>
      </c>
      <c r="K126" s="1527"/>
      <c r="L126" s="1527"/>
      <c r="M126" s="1527"/>
      <c r="N126" s="1527"/>
      <c r="O126" s="1527"/>
      <c r="P126" s="1527"/>
      <c r="Q126" s="1527"/>
      <c r="R126" s="1527"/>
      <c r="S126" s="1528"/>
      <c r="T126" s="76"/>
      <c r="U126" s="363"/>
    </row>
    <row r="127" spans="1:21">
      <c r="A127" s="496"/>
      <c r="B127" s="266"/>
      <c r="C127" s="1517"/>
      <c r="D127" s="1518"/>
      <c r="E127" s="1518"/>
      <c r="F127" s="1518"/>
      <c r="G127" s="1519"/>
      <c r="H127" s="1012"/>
      <c r="I127" s="1526"/>
      <c r="J127" s="1523">
        <f ca="1">YEAR(TODAY())</f>
        <v>2015</v>
      </c>
      <c r="K127" s="1603"/>
      <c r="L127" s="1523">
        <f ca="1">IF(NOT(ISNUMBER(H128)),YEAR(TODAY())+1,IF(J127+1&lt;=YEAR(MAX(H128:H133))+18,J127+1,""))</f>
        <v>2016</v>
      </c>
      <c r="M127" s="1524"/>
      <c r="N127" s="1523">
        <f ca="1">IF(NOT(ISNUMBER(H128)),YEAR(TODAY())+2,IF(AND(ISNUMBER(H128),Tax!E15=0.5),"",IF(J127+2&lt;=YEAR(MAX(H128:H133))+18,J127+2,"")))</f>
        <v>2017</v>
      </c>
      <c r="O127" s="1524"/>
      <c r="P127" s="1523">
        <f ca="1">IF(NOT(ISNUMBER(H128)),YEAR(TODAY())+3,IF(OR(Tax!E15=0.7,Tax!E15=0.5,Tax!E15=0.3),"",IF(J127+3&lt;=YEAR(MAX(H128:H133))+18,J127+3,"")))</f>
        <v>2018</v>
      </c>
      <c r="Q127" s="1524"/>
      <c r="R127" s="1523">
        <f ca="1">IF(NOT(ISNUMBER(H128)),YEAR(TODAY())+4,IF(OR(Tax!E15=0.75,Tax!E15=0.7,Tax!E15=0.5,Tax!E15=0.3,Tax!E15=0.25),"",IF(J127+4&lt;=YEAR(MAX(H128:H133))+18,J127+4,"")))</f>
        <v>2019</v>
      </c>
      <c r="S127" s="1524"/>
      <c r="T127" s="76"/>
      <c r="U127" s="363"/>
    </row>
    <row r="128" spans="1:21">
      <c r="A128" s="496"/>
      <c r="B128" s="266"/>
      <c r="C128" s="318" t="str">
        <f>Worksheet!E149</f>
        <v/>
      </c>
      <c r="D128" s="319"/>
      <c r="E128" s="319"/>
      <c r="F128" s="319"/>
      <c r="G128" s="321" t="str">
        <f t="shared" ref="G128:G133" si="0">IF(ISNUMBER(K22),K22,"")</f>
        <v/>
      </c>
      <c r="H128" s="1522" t="str">
        <f t="shared" ref="H128:H133" si="1">IF(AND(ISNUMBER(K22),K22&lt;=1,NOT(ISNUMBER(M22))),"Year Old",IF(AND(ISNUMBER(K22),K22&gt;1,NOT(ISNUMBER(M22))),"Years Old",M22))</f>
        <v/>
      </c>
      <c r="I128" s="1510"/>
      <c r="J128" s="1509" t="str">
        <f>IF(Worksheet!K145="x",VLOOKUP(Tax!D13,Tax!D27:J331,3,FALSE),IF(NOT(ISNUMBER(H128)),"",IF(J127&lt;=YEAR(H128)+18,VLOOKUP(Tax!D13,Tax!D27:J331,3,FALSE),"")))</f>
        <v/>
      </c>
      <c r="K128" s="1510"/>
      <c r="L128" s="1509" t="str">
        <f>IF(Worksheet!K145="x",VLOOKUP(Tax!D13,Tax!D27:J331,4,FALSE),IF(NOT(ISNUMBER(H128)),"",IF(L127&lt;=YEAR(H128)+18,VLOOKUP(Tax!D13,Tax!D27:J331,4,FALSE),"")))</f>
        <v/>
      </c>
      <c r="M128" s="1510"/>
      <c r="N128" s="1509" t="str">
        <f>IF(Worksheet!K145="x",VLOOKUP(Tax!D13,Tax!D27:J331,5,FALSE),IF(NOT(ISNUMBER(H128)),"",IF(N127&lt;=YEAR(H128)+18,VLOOKUP(Tax!D13,Tax!D27:J331,5,FALSE),"")))</f>
        <v/>
      </c>
      <c r="O128" s="1510"/>
      <c r="P128" s="1509" t="str">
        <f>IF(Worksheet!K145="x",VLOOKUP(Tax!D13,Tax!D27:J331,6,FALSE),IF(NOT(ISNUMBER(H128)),"",IF(P127&lt;=YEAR(H128)+18,VLOOKUP(Tax!D13,Tax!D27:J331,6,FALSE),"")))</f>
        <v/>
      </c>
      <c r="Q128" s="1510"/>
      <c r="R128" s="1509" t="str">
        <f>IF(Worksheet!K145="x",VLOOKUP(Tax!D13,Tax!D27:J331,7,FALSE),IF(NOT(ISNUMBER(H128)),"",IF(R127&lt;=YEAR(H128)+18,VLOOKUP(Tax!D13,Tax!D27:J331,7,FALSE),"")))</f>
        <v/>
      </c>
      <c r="S128" s="1510"/>
      <c r="T128" s="76"/>
      <c r="U128" s="363"/>
    </row>
    <row r="129" spans="1:21">
      <c r="A129" s="496"/>
      <c r="B129" s="266"/>
      <c r="C129" s="318" t="str">
        <f>Worksheet!E150</f>
        <v/>
      </c>
      <c r="D129" s="319"/>
      <c r="E129" s="319"/>
      <c r="F129" s="319"/>
      <c r="G129" s="321" t="str">
        <f t="shared" si="0"/>
        <v/>
      </c>
      <c r="H129" s="1522" t="str">
        <f t="shared" si="1"/>
        <v/>
      </c>
      <c r="I129" s="1510"/>
      <c r="J129" s="1509" t="str">
        <f>IF(Worksheet!K145="x",VLOOKUP(Tax!D13+1,Tax!D27:J331,3,FALSE),IF(NOT(ISNUMBER(H129)),"",IF(J127&lt;=YEAR(H129)+18,VLOOKUP(Tax!D13+1,Tax!D27:J331,3,FALSE),"")))</f>
        <v/>
      </c>
      <c r="K129" s="1510"/>
      <c r="L129" s="1509" t="str">
        <f>IF(Worksheet!K145="x",VLOOKUP(Tax!D13+1,Tax!D27:J331,4,FALSE),IF(NOT(ISNUMBER(H129)),"",IF(L127&lt;=YEAR(H129)+18,VLOOKUP(Tax!D13+1,Tax!D27:J331,4,FALSE),"")))</f>
        <v/>
      </c>
      <c r="M129" s="1510"/>
      <c r="N129" s="1509" t="str">
        <f>IF(Worksheet!K145="x",VLOOKUP(Tax!D13+1,Tax!D27:J331,5,FALSE),IF(NOT(ISNUMBER(H129)),"",IF(N127&lt;=YEAR(H129)+18,VLOOKUP(Tax!D13+1,Tax!D27:J331,5,FALSE),"")))</f>
        <v/>
      </c>
      <c r="O129" s="1510"/>
      <c r="P129" s="1509" t="str">
        <f>IF(Worksheet!K145="x",VLOOKUP(Tax!D13+1,Tax!D27:J331,6,FALSE),IF(NOT(ISNUMBER(H129)),"",IF(P127&lt;=YEAR(H129)+18,VLOOKUP(Tax!D13+1,Tax!D27:J331,6,FALSE),"")))</f>
        <v/>
      </c>
      <c r="Q129" s="1510"/>
      <c r="R129" s="1509" t="str">
        <f>IF(Worksheet!K145="x",VLOOKUP(Tax!D13+1,Tax!D27:J331,7,FALSE),IF(NOT(ISNUMBER(H129)),"",IF(R127&lt;=YEAR(H129)+18,VLOOKUP(Tax!D13+1,Tax!D27:J331,7,FALSE),"")))</f>
        <v/>
      </c>
      <c r="S129" s="1510"/>
      <c r="T129" s="76"/>
      <c r="U129" s="363"/>
    </row>
    <row r="130" spans="1:21">
      <c r="A130" s="496"/>
      <c r="B130" s="266"/>
      <c r="C130" s="318" t="str">
        <f>Worksheet!E151</f>
        <v/>
      </c>
      <c r="D130" s="319"/>
      <c r="E130" s="319"/>
      <c r="F130" s="319"/>
      <c r="G130" s="321" t="str">
        <f t="shared" si="0"/>
        <v/>
      </c>
      <c r="H130" s="1522" t="str">
        <f t="shared" si="1"/>
        <v/>
      </c>
      <c r="I130" s="1510"/>
      <c r="J130" s="1509" t="str">
        <f>IF(Worksheet!K145="x",VLOOKUP(Tax!D13+2,Tax!D27:J331,3,FALSE),IF(NOT(ISNUMBER(H130)),"",IF(J127&lt;=YEAR(H130)+18,VLOOKUP(Tax!D13+2,Tax!D27:J331,3,FALSE),"")))</f>
        <v/>
      </c>
      <c r="K130" s="1510"/>
      <c r="L130" s="1509" t="str">
        <f>IF(Worksheet!K145="x",VLOOKUP(Tax!D13+2,Tax!D27:J331,4,FALSE),IF(NOT(ISNUMBER(H130)),"",IF(L127&lt;=YEAR(H130)+18,VLOOKUP(Tax!D13+2,Tax!D27:J331,4,FALSE),"")))</f>
        <v/>
      </c>
      <c r="M130" s="1510"/>
      <c r="N130" s="1509" t="str">
        <f>IF(Worksheet!K145="x",VLOOKUP(Tax!D13+2,Tax!D27:J331,5,FALSE),IF(NOT(ISNUMBER(H130)),"",IF(N127&lt;=YEAR(H130)+18,VLOOKUP(Tax!D13+2,Tax!D27:J331,5,FALSE),"")))</f>
        <v/>
      </c>
      <c r="O130" s="1510"/>
      <c r="P130" s="1509" t="str">
        <f>IF(Worksheet!K145="x",VLOOKUP(Tax!D13+2,Tax!D27:J331,6,FALSE),IF(NOT(ISNUMBER(H130)),"",IF(P127&lt;=YEAR(H130)+18,VLOOKUP(Tax!D13+2,Tax!D27:J331,6,FALSE),"")))</f>
        <v/>
      </c>
      <c r="Q130" s="1510"/>
      <c r="R130" s="1509" t="str">
        <f>IF(Worksheet!K145="x",VLOOKUP(Tax!D13+2,Tax!D27:J331,7,FALSE),IF(NOT(ISNUMBER(H130)),"",IF(R127&lt;=YEAR(H130)+18,VLOOKUP(Tax!D13+2,Tax!D27:J331,7,FALSE),"")))</f>
        <v/>
      </c>
      <c r="S130" s="1510"/>
      <c r="T130" s="76"/>
      <c r="U130" s="363"/>
    </row>
    <row r="131" spans="1:21">
      <c r="A131" s="496"/>
      <c r="B131" s="266"/>
      <c r="C131" s="318" t="str">
        <f>Worksheet!E152</f>
        <v/>
      </c>
      <c r="D131" s="319"/>
      <c r="E131" s="319"/>
      <c r="F131" s="319"/>
      <c r="G131" s="321" t="str">
        <f t="shared" si="0"/>
        <v/>
      </c>
      <c r="H131" s="1522" t="str">
        <f t="shared" si="1"/>
        <v/>
      </c>
      <c r="I131" s="1510"/>
      <c r="J131" s="1511" t="str">
        <f>IF(Worksheet!K145="x",VLOOKUP(Tax!D13+3,Tax!D27:J331,3,FALSE),IF(NOT(ISNUMBER(H131)),"",IF(J127&lt;=YEAR(H131)+18,VLOOKUP(Tax!D13+3,Tax!D27:J331,3,FALSE),"")))</f>
        <v/>
      </c>
      <c r="K131" s="1510"/>
      <c r="L131" s="1511" t="str">
        <f>IF(Worksheet!K145="x",VLOOKUP(Tax!D13+3,Tax!D27:J331,4,FALSE),IF(NOT(ISNUMBER(H131)),"",IF(L127&lt;=YEAR(H131)+18,VLOOKUP(Tax!D13+3,Tax!D27:J331,4,FALSE),"")))</f>
        <v/>
      </c>
      <c r="M131" s="1510"/>
      <c r="N131" s="1511" t="str">
        <f>IF(Worksheet!K145="x",VLOOKUP(Tax!D13+3,Tax!D27:J331,5,FALSE),IF(NOT(ISNUMBER(H131)),"",IF(N127&lt;=YEAR(H131)+18,VLOOKUP(Tax!D13+3,Tax!D27:J331,5,FALSE),"")))</f>
        <v/>
      </c>
      <c r="O131" s="1510"/>
      <c r="P131" s="1511" t="str">
        <f>IF(Worksheet!K145="x",VLOOKUP(Tax!D13+3,Tax!D27:J331,6,FALSE),IF(NOT(ISNUMBER(H131)),"",IF(P127&lt;=YEAR(H131)+18,VLOOKUP(Tax!D13+3,Tax!D27:J331,6,FALSE),"")))</f>
        <v/>
      </c>
      <c r="Q131" s="1510"/>
      <c r="R131" s="1511" t="str">
        <f>IF(Worksheet!K145="x",VLOOKUP(Tax!D13+3,Tax!D27:J331,7,FALSE),IF(NOT(ISNUMBER(H131)),"",IF(R127&lt;=YEAR(H131)+18,VLOOKUP(Tax!D13+3,Tax!D27:J331,7,FALSE),"")))</f>
        <v/>
      </c>
      <c r="S131" s="1510"/>
      <c r="T131" s="76"/>
      <c r="U131" s="363"/>
    </row>
    <row r="132" spans="1:21">
      <c r="A132" s="496"/>
      <c r="B132" s="266"/>
      <c r="C132" s="318" t="str">
        <f>Worksheet!E153</f>
        <v/>
      </c>
      <c r="D132" s="319"/>
      <c r="E132" s="319"/>
      <c r="F132" s="319"/>
      <c r="G132" s="321" t="str">
        <f t="shared" si="0"/>
        <v/>
      </c>
      <c r="H132" s="1522" t="str">
        <f t="shared" si="1"/>
        <v/>
      </c>
      <c r="I132" s="1510"/>
      <c r="J132" s="1511" t="str">
        <f>IF(Worksheet!K145="x",VLOOKUP(Tax!D13+4,Tax!D27:J331,3,FALSE),IF(NOT(ISNUMBER(H132)),"",IF(J127&lt;=YEAR(H132)+18,VLOOKUP(Tax!D13+4,Tax!D27:J331,3,FALSE),"")))</f>
        <v/>
      </c>
      <c r="K132" s="1510"/>
      <c r="L132" s="1511" t="str">
        <f>IF(Worksheet!K145="x",VLOOKUP(Tax!D13+4,Tax!D27:J331,4,FALSE),IF(NOT(ISNUMBER(H132)),"",IF(L127&lt;=YEAR(H132)+18,VLOOKUP(Tax!D13+4,Tax!D27:J331,4,FALSE),"")))</f>
        <v/>
      </c>
      <c r="M132" s="1510"/>
      <c r="N132" s="1511" t="str">
        <f>IF(Worksheet!K145="x",VLOOKUP(Tax!D13+4,Tax!D27:J331,5,FALSE),IF(NOT(ISNUMBER(H132)),"",IF(N127&lt;=YEAR(H132)+18,VLOOKUP(Tax!D13+4,Tax!D27:J331,5,FALSE),"")))</f>
        <v/>
      </c>
      <c r="O132" s="1510"/>
      <c r="P132" s="1511" t="str">
        <f>IF(Worksheet!K145="x",VLOOKUP(Tax!D13+4,Tax!D27:J331,6,FALSE),IF(NOT(ISNUMBER(H132)),"",IF(P127&lt;=YEAR(H132)+18,VLOOKUP(Tax!D13+4,Tax!D27:J331,6,FALSE),"")))</f>
        <v/>
      </c>
      <c r="Q132" s="1510"/>
      <c r="R132" s="1511" t="str">
        <f>IF(Worksheet!K145="x",VLOOKUP(Tax!D13+4,Tax!D27:J331,7,FALSE),IF(NOT(ISNUMBER(H132)),"",IF(R127&lt;=YEAR(H132)+18,VLOOKUP(Tax!D13+4,Tax!D27:J331,7,FALSE),"")))</f>
        <v/>
      </c>
      <c r="S132" s="1510"/>
      <c r="T132" s="76"/>
      <c r="U132" s="363"/>
    </row>
    <row r="133" spans="1:21">
      <c r="A133" s="496"/>
      <c r="B133" s="266"/>
      <c r="C133" s="318" t="str">
        <f>Worksheet!E154</f>
        <v/>
      </c>
      <c r="D133" s="319"/>
      <c r="E133" s="319"/>
      <c r="F133" s="319"/>
      <c r="G133" s="321" t="str">
        <f t="shared" si="0"/>
        <v/>
      </c>
      <c r="H133" s="1522" t="str">
        <f t="shared" si="1"/>
        <v/>
      </c>
      <c r="I133" s="1510"/>
      <c r="J133" s="1511" t="str">
        <f>IF(Worksheet!K145="x",VLOOKUP(Tax!D13+5,Tax!D27:J331,3,FALSE),IF(NOT(ISNUMBER(H133)),"",IF(J127&lt;=YEAR(H133)+18,VLOOKUP(Tax!D13+5,Tax!D27:J331,3,FALSE),"")))</f>
        <v/>
      </c>
      <c r="K133" s="1510"/>
      <c r="L133" s="1511" t="str">
        <f>IF(Worksheet!K145="x",VLOOKUP(Tax!D13+5,Tax!D27:J331,4,FALSE),IF(NOT(ISNUMBER(H133)),"",IF(L127&lt;=YEAR(H133)+18,VLOOKUP(Tax!D13+5,Tax!D27:J331,4,FALSE),"")))</f>
        <v/>
      </c>
      <c r="M133" s="1510"/>
      <c r="N133" s="1511" t="str">
        <f>IF(Worksheet!K145="x",VLOOKUP(Tax!D13+5,Tax!D27:J331,5,FALSE),IF(NOT(ISNUMBER(H133)),"",IF(N127&lt;=YEAR(H133)+18,VLOOKUP(Tax!D13+5,Tax!D27:J331,5,FALSE),"")))</f>
        <v/>
      </c>
      <c r="O133" s="1510"/>
      <c r="P133" s="1511" t="str">
        <f>IF(Worksheet!K145="x",VLOOKUP(Tax!D13+5,Tax!D27:J331,6,FALSE),IF(NOT(ISNUMBER(H133)),"",IF(P127&lt;=YEAR(H133)+18,VLOOKUP(Tax!D13+5,Tax!D27:J331,6,FALSE),"")))</f>
        <v/>
      </c>
      <c r="Q133" s="1510"/>
      <c r="R133" s="1511" t="str">
        <f>IF(Worksheet!K145="x",VLOOKUP(Tax!D13+5,Tax!D27:J331,7,FALSE),IF(NOT(ISNUMBER(H133)),"",IF(R127&lt;=YEAR(H133)+18,VLOOKUP(Tax!D13+5,Tax!D27:J331,7,FALSE),"")))</f>
        <v/>
      </c>
      <c r="S133" s="1510"/>
      <c r="T133" s="287"/>
      <c r="U133" s="363"/>
    </row>
    <row r="134" spans="1:21">
      <c r="A134" s="496"/>
      <c r="B134" s="518"/>
      <c r="C134" s="299"/>
      <c r="D134" s="300"/>
      <c r="E134" s="300"/>
      <c r="F134" s="300"/>
      <c r="G134" s="300"/>
      <c r="H134" s="301"/>
      <c r="I134" s="302"/>
      <c r="J134" s="303"/>
      <c r="K134" s="302"/>
      <c r="L134" s="303"/>
      <c r="M134" s="302"/>
      <c r="N134" s="303"/>
      <c r="O134" s="302"/>
      <c r="P134" s="303"/>
      <c r="Q134" s="302"/>
      <c r="R134" s="303"/>
      <c r="S134" s="302"/>
      <c r="T134" s="211"/>
      <c r="U134" s="363"/>
    </row>
    <row r="135" spans="1:21" ht="17.25" customHeight="1">
      <c r="A135" s="510"/>
      <c r="B135" s="266"/>
      <c r="C135" s="299"/>
      <c r="D135" s="300"/>
      <c r="E135" s="300"/>
      <c r="F135" s="300"/>
      <c r="G135" s="300"/>
      <c r="H135" s="301"/>
      <c r="I135" s="302"/>
      <c r="J135" s="303"/>
      <c r="K135" s="302"/>
      <c r="L135" s="303"/>
      <c r="M135" s="302"/>
      <c r="N135" s="303"/>
      <c r="O135" s="1197" t="s">
        <v>84</v>
      </c>
      <c r="P135" s="1024"/>
      <c r="Q135" s="1545" t="str">
        <f>O5</f>
        <v/>
      </c>
      <c r="R135" s="1171"/>
      <c r="S135" s="1171"/>
      <c r="T135" s="1171"/>
      <c r="U135" s="363"/>
    </row>
    <row r="136" spans="1:21">
      <c r="A136" s="496"/>
      <c r="B136" s="266"/>
      <c r="C136" s="299"/>
      <c r="D136" s="300"/>
      <c r="E136" s="300"/>
      <c r="F136" s="300"/>
      <c r="G136" s="300"/>
      <c r="H136" s="301"/>
      <c r="I136" s="302"/>
      <c r="J136" s="303"/>
      <c r="K136" s="302"/>
      <c r="L136" s="303"/>
      <c r="M136" s="302"/>
      <c r="N136" s="303"/>
      <c r="O136" s="302"/>
      <c r="P136" s="81"/>
      <c r="Q136" s="81"/>
      <c r="R136" s="81"/>
      <c r="S136" s="81"/>
      <c r="T136" s="81"/>
      <c r="U136" s="363"/>
    </row>
    <row r="137" spans="1:21" s="657" customFormat="1">
      <c r="A137" s="652"/>
      <c r="B137" s="655"/>
      <c r="C137" s="1584" t="s">
        <v>425</v>
      </c>
      <c r="D137" s="1448"/>
      <c r="E137" s="1448"/>
      <c r="F137" s="1448"/>
      <c r="G137" s="1448"/>
      <c r="H137" s="1448"/>
      <c r="I137" s="1448"/>
      <c r="J137" s="1448"/>
      <c r="K137" s="1448"/>
      <c r="L137" s="1448"/>
      <c r="M137" s="1448"/>
      <c r="N137" s="1448"/>
      <c r="O137" s="1448"/>
      <c r="P137" s="1448"/>
      <c r="Q137" s="1448"/>
      <c r="R137" s="1448"/>
      <c r="S137" s="1448"/>
      <c r="T137" s="1448"/>
      <c r="U137" s="363"/>
    </row>
    <row r="138" spans="1:21" s="231" customFormat="1" ht="25.5" customHeight="1">
      <c r="A138" s="496"/>
      <c r="B138" s="288"/>
      <c r="C138" s="1520" t="str">
        <f>IF(Worksheet!U44=1,"For any years following those listed above while this Child Support Order remains in effect, the parties shall repeat the above pattern of claiming tax deductions for the child.","For any years following those listed above while this Child Support Order remains in effect, the parties shall repeat the above pattern of claiming tax deductions for each child.")</f>
        <v>For any years following those listed above while this Child Support Order remains in effect, the parties shall repeat the above pattern of claiming tax deductions for each child.</v>
      </c>
      <c r="D138" s="1521"/>
      <c r="E138" s="1521"/>
      <c r="F138" s="1521"/>
      <c r="G138" s="1521"/>
      <c r="H138" s="1521"/>
      <c r="I138" s="1521"/>
      <c r="J138" s="1521"/>
      <c r="K138" s="1521"/>
      <c r="L138" s="1521"/>
      <c r="M138" s="1521"/>
      <c r="N138" s="1521"/>
      <c r="O138" s="1521"/>
      <c r="P138" s="1521"/>
      <c r="Q138" s="1521"/>
      <c r="R138" s="1521"/>
      <c r="S138" s="1521"/>
      <c r="T138" s="1521"/>
      <c r="U138" s="629"/>
    </row>
    <row r="139" spans="1:21" ht="24.75" customHeight="1">
      <c r="A139" s="496"/>
      <c r="B139" s="266"/>
      <c r="C139" s="1544" t="str">
        <f>IF(AND(Worksheet!$K$142="x",ISNUMBER(Worksheet!$U$80)),"Each year, Father may claim any exemptions allocated to him only if he has paid all child support and arrears ordered for the year by December 31 of that year.",IF(AND(Worksheet!$K$142="x",ISNUMBER(Worksheet!$Y$80)),"Each year, Mother may claim any exemptions allocated to her only if she has paid all child support and arrears ordered for the year by December 31 of that year.",IF(AND(NOT(ISBLANK(Worksheet!$K$143)),ISNUMBER(Worksheet!$U$80)),"Each year, Father may unconditionally claim any exemptions allocated to him above for all federal and state income tax purposes.",IF(AND(NOT(ISBLANK(Worksheet!$K$143)),ISNUMBER(Worksheet!$Y$80)),"Each year, Mother may unconditionally claim any exemptions allocated to her above for all federal and state income tax purposes.","Each year, the obligor may claim these exemptions only if the obligor has paid all child support and arrears ordered for the year by December 31 of that year."))))</f>
        <v>Each year, the obligor may claim these exemptions only if the obligor has paid all child support and arrears ordered for the year by December 31 of that year.</v>
      </c>
      <c r="D139" s="1521"/>
      <c r="E139" s="1521"/>
      <c r="F139" s="1521"/>
      <c r="G139" s="1521"/>
      <c r="H139" s="1521"/>
      <c r="I139" s="1521"/>
      <c r="J139" s="1521"/>
      <c r="K139" s="1521"/>
      <c r="L139" s="1521"/>
      <c r="M139" s="1521"/>
      <c r="N139" s="1521"/>
      <c r="O139" s="1521"/>
      <c r="P139" s="1521"/>
      <c r="Q139" s="1521"/>
      <c r="R139" s="1521"/>
      <c r="S139" s="1521"/>
      <c r="T139" s="1521"/>
      <c r="U139" s="363"/>
    </row>
    <row r="140" spans="1:21" s="487" customFormat="1" ht="12.75" customHeight="1">
      <c r="A140" s="496"/>
      <c r="B140" s="486"/>
      <c r="C140" s="482"/>
      <c r="D140" s="483"/>
      <c r="E140" s="483"/>
      <c r="F140" s="483"/>
      <c r="G140" s="483"/>
      <c r="H140" s="483"/>
      <c r="I140" s="483"/>
      <c r="J140" s="483"/>
      <c r="K140" s="483"/>
      <c r="L140" s="483"/>
      <c r="M140" s="483"/>
      <c r="N140" s="483"/>
      <c r="O140" s="483"/>
      <c r="P140" s="483"/>
      <c r="Q140" s="483"/>
      <c r="R140" s="483"/>
      <c r="S140" s="483"/>
      <c r="T140" s="483"/>
      <c r="U140" s="363"/>
    </row>
    <row r="141" spans="1:21" s="487" customFormat="1" ht="38.25" customHeight="1">
      <c r="A141" s="496"/>
      <c r="B141" s="435" t="s">
        <v>234</v>
      </c>
      <c r="C141" s="1539" t="s">
        <v>259</v>
      </c>
      <c r="D141" s="1521"/>
      <c r="E141" s="1521"/>
      <c r="F141" s="1521"/>
      <c r="G141" s="1521"/>
      <c r="H141" s="1521"/>
      <c r="I141" s="1521"/>
      <c r="J141" s="1521"/>
      <c r="K141" s="1521"/>
      <c r="L141" s="1521"/>
      <c r="M141" s="1521"/>
      <c r="N141" s="1521"/>
      <c r="O141" s="1521"/>
      <c r="P141" s="1521"/>
      <c r="Q141" s="1521"/>
      <c r="R141" s="1521"/>
      <c r="S141" s="1521"/>
      <c r="T141" s="1521"/>
      <c r="U141" s="363"/>
    </row>
    <row r="142" spans="1:21">
      <c r="A142" s="496"/>
      <c r="B142" s="266"/>
      <c r="C142" s="266"/>
      <c r="D142" s="268"/>
      <c r="E142" s="268"/>
      <c r="F142" s="268"/>
      <c r="G142" s="268"/>
      <c r="H142" s="268"/>
      <c r="I142" s="268"/>
      <c r="J142" s="268"/>
      <c r="K142" s="268"/>
      <c r="L142" s="268"/>
      <c r="M142" s="268"/>
      <c r="N142" s="268"/>
      <c r="O142" s="268"/>
      <c r="P142" s="268"/>
      <c r="Q142" s="268"/>
      <c r="R142" s="268"/>
      <c r="S142" s="268"/>
      <c r="T142" s="268"/>
      <c r="U142" s="363"/>
    </row>
    <row r="143" spans="1:21">
      <c r="A143" s="496"/>
      <c r="B143" s="1564" t="s">
        <v>124</v>
      </c>
      <c r="C143" s="1564"/>
      <c r="D143" s="1539"/>
      <c r="E143" s="1539"/>
      <c r="F143" s="1539"/>
      <c r="G143" s="1539"/>
      <c r="H143" s="1539"/>
      <c r="I143" s="1539"/>
      <c r="J143" s="1539"/>
      <c r="K143" s="1539"/>
      <c r="L143" s="1539"/>
      <c r="M143" s="1539"/>
      <c r="N143" s="1539"/>
      <c r="O143" s="1539"/>
      <c r="P143" s="1539"/>
      <c r="Q143" s="1539"/>
      <c r="R143" s="1539"/>
      <c r="S143" s="1539"/>
      <c r="T143" s="1539"/>
      <c r="U143" s="363"/>
    </row>
    <row r="144" spans="1:21">
      <c r="A144" s="496"/>
      <c r="B144" s="266"/>
      <c r="C144" s="266"/>
      <c r="D144" s="268"/>
      <c r="E144" s="268"/>
      <c r="F144" s="268"/>
      <c r="G144" s="268"/>
      <c r="H144" s="268"/>
      <c r="I144" s="268"/>
      <c r="J144" s="268"/>
      <c r="K144" s="268"/>
      <c r="L144" s="268"/>
      <c r="M144" s="268"/>
      <c r="N144" s="268"/>
      <c r="O144" s="268"/>
      <c r="P144" s="268"/>
      <c r="Q144" s="268"/>
      <c r="R144" s="268"/>
      <c r="S144" s="268"/>
      <c r="T144" s="268"/>
      <c r="U144" s="363"/>
    </row>
    <row r="145" spans="1:21" ht="16.5" customHeight="1">
      <c r="A145" s="496"/>
      <c r="B145" s="435" t="s">
        <v>262</v>
      </c>
      <c r="C145" s="1564" t="s">
        <v>343</v>
      </c>
      <c r="D145" s="1446"/>
      <c r="E145" s="1446"/>
      <c r="F145" s="1446"/>
      <c r="G145" s="1446"/>
      <c r="H145" s="1446"/>
      <c r="I145" s="1446"/>
      <c r="J145" s="1446"/>
      <c r="K145" s="1446"/>
      <c r="L145" s="1446"/>
      <c r="M145" s="1446"/>
      <c r="N145" s="1446"/>
      <c r="O145" s="1446"/>
      <c r="P145" s="1446"/>
      <c r="Q145" s="1446"/>
      <c r="R145" s="1446"/>
      <c r="S145" s="1446"/>
      <c r="T145" s="1446"/>
      <c r="U145" s="363"/>
    </row>
    <row r="146" spans="1:21" s="487" customFormat="1" ht="25.5" customHeight="1">
      <c r="A146" s="496"/>
      <c r="B146" s="435"/>
      <c r="C146" s="1512" t="s">
        <v>333</v>
      </c>
      <c r="D146" s="1446"/>
      <c r="E146" s="1446"/>
      <c r="F146" s="1446"/>
      <c r="G146" s="1446"/>
      <c r="H146" s="1446"/>
      <c r="I146" s="1446"/>
      <c r="J146" s="1446"/>
      <c r="K146" s="1446"/>
      <c r="L146" s="1446"/>
      <c r="M146" s="1446"/>
      <c r="N146" s="1446"/>
      <c r="O146" s="1446"/>
      <c r="P146" s="1446"/>
      <c r="Q146" s="1446"/>
      <c r="R146" s="1446"/>
      <c r="S146" s="1446"/>
      <c r="T146" s="1446"/>
      <c r="U146" s="363"/>
    </row>
    <row r="147" spans="1:21" s="25" customFormat="1" ht="15.75" customHeight="1">
      <c r="A147" s="496"/>
      <c r="B147" s="222"/>
      <c r="C147" s="222"/>
      <c r="D147" s="882" t="s">
        <v>125</v>
      </c>
      <c r="E147" s="882"/>
      <c r="F147" s="882"/>
      <c r="G147" s="882"/>
      <c r="H147" s="882"/>
      <c r="I147" s="882"/>
      <c r="J147" s="882"/>
      <c r="K147" s="882"/>
      <c r="L147" s="882"/>
      <c r="M147" s="882"/>
      <c r="N147" s="882"/>
      <c r="O147" s="882"/>
      <c r="P147" s="882"/>
      <c r="Q147" s="882"/>
      <c r="R147" s="882"/>
      <c r="S147" s="882"/>
      <c r="T147" s="882"/>
      <c r="U147" s="624"/>
    </row>
    <row r="148" spans="1:21">
      <c r="A148" s="496"/>
      <c r="B148" s="266"/>
      <c r="C148" s="266"/>
      <c r="D148" s="1544" t="s">
        <v>204</v>
      </c>
      <c r="E148" s="1544"/>
      <c r="F148" s="1544"/>
      <c r="G148" s="1544"/>
      <c r="H148" s="1544"/>
      <c r="I148" s="1544"/>
      <c r="J148" s="1544"/>
      <c r="K148" s="1544"/>
      <c r="L148" s="1544"/>
      <c r="M148" s="1544"/>
      <c r="N148" s="1544"/>
      <c r="O148" s="1544"/>
      <c r="P148" s="1544"/>
      <c r="Q148" s="1544"/>
      <c r="R148" s="1544"/>
      <c r="S148" s="1544"/>
      <c r="T148" s="1544"/>
      <c r="U148" s="363"/>
    </row>
    <row r="149" spans="1:21">
      <c r="A149" s="496"/>
      <c r="B149" s="266"/>
      <c r="C149" s="266"/>
      <c r="D149" s="1544" t="s">
        <v>126</v>
      </c>
      <c r="E149" s="1544"/>
      <c r="F149" s="1544"/>
      <c r="G149" s="1544"/>
      <c r="H149" s="1544"/>
      <c r="I149" s="1544"/>
      <c r="J149" s="1544"/>
      <c r="K149" s="1544"/>
      <c r="L149" s="1544"/>
      <c r="M149" s="1544"/>
      <c r="N149" s="1544"/>
      <c r="O149" s="1544"/>
      <c r="P149" s="1544"/>
      <c r="Q149" s="1544"/>
      <c r="R149" s="1544"/>
      <c r="S149" s="1544"/>
      <c r="T149" s="1544"/>
      <c r="U149" s="363"/>
    </row>
    <row r="150" spans="1:21" ht="22.5" customHeight="1">
      <c r="A150" s="496"/>
      <c r="B150" s="266"/>
      <c r="C150" s="266"/>
      <c r="D150" s="1544" t="s">
        <v>127</v>
      </c>
      <c r="E150" s="1544"/>
      <c r="F150" s="1544"/>
      <c r="G150" s="1544"/>
      <c r="H150" s="1544"/>
      <c r="I150" s="1544"/>
      <c r="J150" s="1544"/>
      <c r="K150" s="1544"/>
      <c r="L150" s="1544"/>
      <c r="M150" s="1544"/>
      <c r="N150" s="1544"/>
      <c r="O150" s="1544"/>
      <c r="P150" s="1544"/>
      <c r="Q150" s="1544"/>
      <c r="R150" s="1544"/>
      <c r="S150" s="1544"/>
      <c r="T150" s="1544"/>
      <c r="U150" s="363"/>
    </row>
    <row r="151" spans="1:21" ht="12.75" customHeight="1">
      <c r="A151" s="496"/>
      <c r="B151" s="308" t="str">
        <f>IF(ISBLANK(Worksheet!T10),"","17.")</f>
        <v/>
      </c>
      <c r="C151" s="1555" t="str">
        <f>IF(ISBLANK(Worksheet!T10),"","Periodic Review.")</f>
        <v/>
      </c>
      <c r="D151" s="1448"/>
      <c r="E151" s="1448"/>
      <c r="F151" s="1556" t="str">
        <f>IF(ISBLANK(Worksheet!T10),"","  The State and each party in a IV-D case has the right, once every three years, to")</f>
        <v/>
      </c>
      <c r="G151" s="1446"/>
      <c r="H151" s="1446"/>
      <c r="I151" s="1446"/>
      <c r="J151" s="1446"/>
      <c r="K151" s="1446"/>
      <c r="L151" s="1446"/>
      <c r="M151" s="1446"/>
      <c r="N151" s="1446"/>
      <c r="O151" s="1446"/>
      <c r="P151" s="1446"/>
      <c r="Q151" s="1446"/>
      <c r="R151" s="1446"/>
      <c r="S151" s="1446"/>
      <c r="T151" s="1446"/>
      <c r="U151" s="363"/>
    </row>
    <row r="152" spans="1:21" s="487" customFormat="1" ht="27" customHeight="1">
      <c r="A152" s="496"/>
      <c r="B152" s="435"/>
      <c r="C152" s="1556" t="str">
        <f>IF(ISBLANK(Worksheet!T10),"","request that D.C.S.E. conduct a review of this child support order without a specific showing of a changed cirucumstance that is substantial and continuing.  If appropriate, the Department of Economic Security")</f>
        <v/>
      </c>
      <c r="D152" s="1446"/>
      <c r="E152" s="1446"/>
      <c r="F152" s="1446"/>
      <c r="G152" s="1446"/>
      <c r="H152" s="1446"/>
      <c r="I152" s="1446"/>
      <c r="J152" s="1446"/>
      <c r="K152" s="1446"/>
      <c r="L152" s="1446"/>
      <c r="M152" s="1446"/>
      <c r="N152" s="1446"/>
      <c r="O152" s="1446"/>
      <c r="P152" s="1446"/>
      <c r="Q152" s="1446"/>
      <c r="R152" s="1446"/>
      <c r="S152" s="1446"/>
      <c r="T152" s="1446"/>
      <c r="U152" s="363"/>
    </row>
    <row r="153" spans="1:21" s="487" customFormat="1" ht="37.5" customHeight="1">
      <c r="A153" s="496"/>
      <c r="B153" s="435"/>
      <c r="C153" s="1556" t="str">
        <f>IF(ISBLANK(Worksheet!T10),"","may file an action in Superior Court to adjust the support amount in accordance with the Arizona Child Support Guidelines.")</f>
        <v/>
      </c>
      <c r="D153" s="1446"/>
      <c r="E153" s="1446"/>
      <c r="F153" s="1446"/>
      <c r="G153" s="1446"/>
      <c r="H153" s="1446"/>
      <c r="I153" s="1446"/>
      <c r="J153" s="1446"/>
      <c r="K153" s="1446"/>
      <c r="L153" s="1446"/>
      <c r="M153" s="1446"/>
      <c r="N153" s="1446"/>
      <c r="O153" s="1446"/>
      <c r="P153" s="1446"/>
      <c r="Q153" s="1446"/>
      <c r="R153" s="1446"/>
      <c r="S153" s="1446"/>
      <c r="T153" s="1446"/>
      <c r="U153" s="363"/>
    </row>
    <row r="154" spans="1:21" ht="12.75" customHeight="1">
      <c r="A154" s="496"/>
      <c r="B154" s="308" t="str">
        <f>IF(AND(B151="17.",C154="Cash Medical Support."),"18.",IF(AND(B151="",C154="Cash Medical Support."),"17.",""))</f>
        <v/>
      </c>
      <c r="C154" s="1483" t="str">
        <f>IF(AND(NOT(ISBLANK(Worksheet!G206)),OR(NOT(ISBLANK(Worksheet!M46)),NOT(ISBLANK(Worksheet!J46)))),"Cash Medical Support.","")</f>
        <v/>
      </c>
      <c r="D154" s="944"/>
      <c r="E154" s="944"/>
      <c r="F154" s="944"/>
      <c r="G154" s="944"/>
      <c r="H154" s="1529" t="str">
        <f>IF(AND(NOT(ISBLANK(Worksheet!G206)),Worksheet!U44=1,OR(NOT(ISBLANK(Worksheet!M46)),NOT(ISBLANK(Worksheet!J46)))),"In the event the child is not covered under a medical insurance plan",IF(AND(NOT(ISBLANK(Worksheet!G206)),Worksheet!U44&gt;1,OR(NOT(ISBLANK(Worksheet!M46)),NOT(ISBLANK(Worksheet!J46)))),"In the event the children are not covered under a medical insurance plan",""))</f>
        <v/>
      </c>
      <c r="I154" s="944"/>
      <c r="J154" s="944"/>
      <c r="K154" s="944"/>
      <c r="L154" s="944"/>
      <c r="M154" s="944"/>
      <c r="N154" s="944"/>
      <c r="O154" s="944"/>
      <c r="P154" s="944"/>
      <c r="Q154" s="944"/>
      <c r="R154" s="944"/>
      <c r="S154" s="944"/>
      <c r="T154" s="944"/>
      <c r="U154" s="363"/>
    </row>
    <row r="155" spans="1:21" s="574" customFormat="1" ht="12.75" customHeight="1">
      <c r="A155" s="571"/>
      <c r="B155" s="308"/>
      <c r="C155" s="1529" t="str">
        <f>IF(AND(NOT(ISBLANK(Worksheet!G206)),NOT(ISBLANK(Worksheet!M46))),"within 90 days of the entry of this order, Father shall pay to Mother the additional sum of",IF(AND(NOT(ISBLANK(Worksheet!G206)),NOT(ISBLANK(Worksheet!J46))),"within 90 days of the entry of this order, Mother shall pay to Father the additional sum of",""))</f>
        <v/>
      </c>
      <c r="D155" s="1461"/>
      <c r="E155" s="1461"/>
      <c r="F155" s="1461"/>
      <c r="G155" s="1461"/>
      <c r="H155" s="1461"/>
      <c r="I155" s="1461"/>
      <c r="J155" s="1461"/>
      <c r="K155" s="1461"/>
      <c r="L155" s="1461"/>
      <c r="M155" s="1461"/>
      <c r="N155" s="1461"/>
      <c r="O155" s="1461"/>
      <c r="P155" s="1461"/>
      <c r="Q155" s="1461"/>
      <c r="R155" s="1530" t="str">
        <f>IF(AND(NOT(ISBLANK(Worksheet!G206)),OR(NOT(ISBLANK(Worksheet!M46)),NOT(ISBLANK(Worksheet!J46)))),Worksheet!H207,"")</f>
        <v/>
      </c>
      <c r="S155" s="1530"/>
      <c r="T155" s="1530"/>
      <c r="U155" s="363"/>
    </row>
    <row r="156" spans="1:21" s="574" customFormat="1" ht="12.75" customHeight="1">
      <c r="A156" s="571"/>
      <c r="B156" s="308"/>
      <c r="C156" s="1529" t="str">
        <f>IF(AND(NOT(ISBLANK(Worksheet!G206)),OR(NOT(ISBLANK(Worksheet!M46)),NOT(ISBLANK(Worksheet!J46)))),"per month for cash medical support, payble on the first (1st) day of each month commencing","")</f>
        <v/>
      </c>
      <c r="D156" s="1461"/>
      <c r="E156" s="1461"/>
      <c r="F156" s="1461"/>
      <c r="G156" s="1461"/>
      <c r="H156" s="1461"/>
      <c r="I156" s="1461"/>
      <c r="J156" s="1461"/>
      <c r="K156" s="1461"/>
      <c r="L156" s="944"/>
      <c r="M156" s="944"/>
      <c r="N156" s="944"/>
      <c r="O156" s="944"/>
      <c r="P156" s="944"/>
      <c r="Q156" s="944"/>
      <c r="R156" s="944"/>
      <c r="S156" s="589"/>
      <c r="T156" s="589"/>
      <c r="U156" s="363"/>
    </row>
    <row r="157" spans="1:21" s="574" customFormat="1" ht="12.75" customHeight="1">
      <c r="A157" s="571"/>
      <c r="B157" s="308"/>
      <c r="C157" s="1566" t="str">
        <f>IF(AND(NOT(ISBLANK(Worksheet!G206)),Worksheet!H209="x",OR(NOT(ISBLANK(Worksheet!M46)),NOT(ISBLANK(Worksheet!J46)))),Worksheet!T209,IF(AND(NOT(ISBLANK(Worksheet!G206)),Worksheet!H210="x",OR(NOT(ISBLANK(Worksheet!M46)),NOT(ISBLANK(Worksheet!J46)))),Worksheet!T210,""))</f>
        <v/>
      </c>
      <c r="D157" s="1566"/>
      <c r="E157" s="1566"/>
      <c r="F157" s="1566"/>
      <c r="G157" s="1567"/>
      <c r="H157" s="1461" t="str">
        <f>IF(AND(NOT(ISBLANK(Worksheet!G206)),Worksheet!U44=1,OR(NOT(ISBLANK(Worksheet!M46)),NOT(ISBLANK(Worksheet!J46)))),"and continuing thereafter during periods when the child is not ",IF(AND(NOT(ISBLANK(Worksheet!G206)),Worksheet!U44&gt;1,OR(NOT(ISBLANK(Worksheet!M46)),NOT(ISBLANK(Worksheet!J46)))),"and continuing thereafter during periods when the children are not ",""))</f>
        <v/>
      </c>
      <c r="I157" s="944"/>
      <c r="J157" s="944"/>
      <c r="K157" s="944"/>
      <c r="L157" s="944"/>
      <c r="M157" s="944"/>
      <c r="N157" s="944"/>
      <c r="O157" s="944"/>
      <c r="P157" s="944"/>
      <c r="Q157" s="944"/>
      <c r="R157" s="944"/>
      <c r="S157" s="944"/>
      <c r="T157" s="944"/>
      <c r="U157" s="363"/>
    </row>
    <row r="158" spans="1:21" s="574" customFormat="1" ht="12.75" customHeight="1">
      <c r="A158" s="571"/>
      <c r="B158" s="308"/>
      <c r="C158" s="1568" t="str">
        <f>IF(AND(NOT(ISBLANK(Worksheet!G206)),OR(NOT(ISBLANK(Worksheet!M46)),NOT(ISBLANK(Worksheet!J46)))),"covered under a medical insurance plan in accordance with the provisions of A.R.S. §25-320(K).","")</f>
        <v/>
      </c>
      <c r="D158" s="916"/>
      <c r="E158" s="916"/>
      <c r="F158" s="916"/>
      <c r="G158" s="916"/>
      <c r="H158" s="916"/>
      <c r="I158" s="916"/>
      <c r="J158" s="916"/>
      <c r="K158" s="916"/>
      <c r="L158" s="916"/>
      <c r="M158" s="916"/>
      <c r="N158" s="916"/>
      <c r="O158" s="916"/>
      <c r="P158" s="916"/>
      <c r="Q158" s="916"/>
      <c r="R158" s="916"/>
      <c r="S158" s="916"/>
      <c r="T158" s="916"/>
      <c r="U158" s="363"/>
    </row>
    <row r="159" spans="1:21" s="574" customFormat="1" ht="12.75" customHeight="1">
      <c r="A159" s="571"/>
      <c r="B159" s="308"/>
      <c r="C159" s="590"/>
      <c r="D159" s="590"/>
      <c r="E159" s="590"/>
      <c r="F159" s="590"/>
      <c r="G159" s="591"/>
      <c r="H159" s="577"/>
      <c r="I159" s="577"/>
      <c r="J159" s="577"/>
      <c r="K159" s="577"/>
      <c r="L159" s="368"/>
      <c r="M159" s="368"/>
      <c r="N159" s="368"/>
      <c r="O159" s="368"/>
      <c r="P159" s="368"/>
      <c r="Q159" s="577"/>
      <c r="R159" s="577"/>
      <c r="S159" s="577"/>
      <c r="T159" s="577"/>
      <c r="U159" s="363"/>
    </row>
    <row r="160" spans="1:21" s="574" customFormat="1" ht="62.25" customHeight="1">
      <c r="A160" s="571"/>
      <c r="B160" s="308" t="str">
        <f>IF(AND(B151="17.",B154="18.",NOT(ISBLANK(Worksheet!E169))),"19.",IF(AND(NOT(ISBLANK(Worksheet!E169)),OR(B151="17.",B154="17.")),"18.",IF(AND(B151="",NOT(ISBLANK(Worksheet!E169))),"17.","")))</f>
        <v>17.</v>
      </c>
      <c r="C160" s="1569" t="str">
        <f>IF(ISBLANK(Worksheet!E169),"",Worksheet!E169)</f>
        <v>Even though there are orders regarding medical insurance and the allocation of the right to claim a chld as a dependent for the purposes of federal taxes contained in this judgment, this is not binding on the IRS.  Under the Affordable Care Act, the parent who claims the child as a dependent on a federal tax return has the obligation to ensure that the child is covered by medical insurance and may be penalized by the IRS for failing to do so.</v>
      </c>
      <c r="D160" s="1570"/>
      <c r="E160" s="1570"/>
      <c r="F160" s="1570"/>
      <c r="G160" s="1570"/>
      <c r="H160" s="1570"/>
      <c r="I160" s="1570"/>
      <c r="J160" s="1570"/>
      <c r="K160" s="1570"/>
      <c r="L160" s="1570"/>
      <c r="M160" s="1570"/>
      <c r="N160" s="1570"/>
      <c r="O160" s="1570"/>
      <c r="P160" s="1570"/>
      <c r="Q160" s="1570"/>
      <c r="R160" s="1570"/>
      <c r="S160" s="1570"/>
      <c r="T160" s="1570"/>
      <c r="U160" s="363"/>
    </row>
    <row r="161" spans="1:39" ht="12.75" customHeight="1">
      <c r="A161" s="496"/>
      <c r="B161" s="1565" t="str">
        <f>IF(NOT(ISBLANK(Worksheet!E171)),"Stipulation.","")</f>
        <v/>
      </c>
      <c r="C161" s="1565"/>
      <c r="D161" s="1534"/>
      <c r="E161" s="1557" t="str">
        <f>IF(NOT(ISBLANK(Worksheet!E171)),"By signing this document, we state under penalty of perjury, that we have read and agree to this","")</f>
        <v/>
      </c>
      <c r="F161" s="1558"/>
      <c r="G161" s="1558"/>
      <c r="H161" s="1558"/>
      <c r="I161" s="1558"/>
      <c r="J161" s="1558"/>
      <c r="K161" s="1558"/>
      <c r="L161" s="1558"/>
      <c r="M161" s="1558"/>
      <c r="N161" s="1558"/>
      <c r="O161" s="1558"/>
      <c r="P161" s="1558"/>
      <c r="Q161" s="1558"/>
      <c r="R161" s="1558"/>
      <c r="S161" s="1558"/>
      <c r="T161" s="1558"/>
      <c r="U161" s="363"/>
    </row>
    <row r="162" spans="1:39" ht="12.75" customHeight="1">
      <c r="A162" s="496"/>
      <c r="B162" s="363" t="str">
        <f>IF(NOT(ISBLANK(Worksheet!E171)),"Order and that all information contained in it is true and complete to the best of our knowledge and belief.","")</f>
        <v/>
      </c>
      <c r="C162" s="363"/>
      <c r="D162" s="363"/>
      <c r="E162" s="363"/>
      <c r="F162" s="363"/>
      <c r="G162" s="363"/>
      <c r="H162" s="363"/>
      <c r="I162" s="363"/>
      <c r="J162" s="363"/>
      <c r="K162" s="363"/>
      <c r="L162" s="363"/>
      <c r="M162" s="363"/>
      <c r="N162" s="363"/>
      <c r="O162" s="363"/>
      <c r="P162" s="363"/>
      <c r="Q162" s="363"/>
      <c r="R162" s="363"/>
      <c r="S162" s="363"/>
      <c r="T162" s="363"/>
      <c r="U162" s="363"/>
      <c r="V162" s="481"/>
      <c r="W162" s="481"/>
      <c r="X162" s="481"/>
      <c r="Y162" s="481"/>
      <c r="Z162" s="481"/>
      <c r="AA162" s="481"/>
      <c r="AB162" s="481"/>
      <c r="AC162" s="481"/>
      <c r="AD162" s="481"/>
      <c r="AE162" s="481"/>
      <c r="AF162" s="481"/>
      <c r="AG162" s="481"/>
      <c r="AH162" s="481"/>
      <c r="AI162" s="481"/>
      <c r="AJ162" s="481"/>
      <c r="AK162" s="481"/>
      <c r="AL162" s="481"/>
      <c r="AM162" s="481"/>
    </row>
    <row r="163" spans="1:39" ht="36" customHeight="1">
      <c r="A163" s="496"/>
      <c r="B163" s="1174" t="str">
        <f>IF(NOT(ISBLANK(Worksheet!E171))," ","")</f>
        <v/>
      </c>
      <c r="C163" s="1174"/>
      <c r="D163" s="1174"/>
      <c r="E163" s="1174"/>
      <c r="F163" s="1174"/>
      <c r="G163" s="1174"/>
      <c r="H163" s="1174"/>
      <c r="I163" s="1174"/>
      <c r="J163" s="1174"/>
      <c r="K163" s="505"/>
      <c r="L163" s="1174" t="str">
        <f>IF(NOT(ISBLANK(Worksheet!E171))," ","")</f>
        <v/>
      </c>
      <c r="M163" s="1174"/>
      <c r="N163" s="1174"/>
      <c r="O163" s="1174"/>
      <c r="P163" s="1174"/>
      <c r="Q163" s="1174"/>
      <c r="R163" s="1174"/>
      <c r="S163" s="1174"/>
      <c r="T163" s="1174"/>
      <c r="U163" s="661"/>
    </row>
    <row r="164" spans="1:39">
      <c r="A164" s="496"/>
      <c r="B164" s="1507" t="str">
        <f>IF(NOT(ISBLANK(Worksheet!E171)),Worksheet!F12,"")</f>
        <v/>
      </c>
      <c r="C164" s="1508"/>
      <c r="D164" s="1508"/>
      <c r="E164" s="1508"/>
      <c r="F164" s="1508"/>
      <c r="G164" s="1508"/>
      <c r="H164" s="1507" t="str">
        <f>IF(NOT(ISBLANK(Worksheet!E171)),"Date","")</f>
        <v/>
      </c>
      <c r="I164" s="1508"/>
      <c r="J164" s="1508"/>
      <c r="K164" s="280"/>
      <c r="L164" s="1507" t="str">
        <f>IF(NOT(ISBLANK(Worksheet!E171)),Worksheet!F14,"")</f>
        <v/>
      </c>
      <c r="M164" s="1508"/>
      <c r="N164" s="1508"/>
      <c r="O164" s="1508"/>
      <c r="P164" s="1508"/>
      <c r="Q164" s="1508"/>
      <c r="R164" s="1507" t="str">
        <f>IF(NOT(ISBLANK(Worksheet!E171)),"Date","")</f>
        <v/>
      </c>
      <c r="S164" s="1508"/>
      <c r="T164" s="1508"/>
      <c r="U164" s="363"/>
    </row>
    <row r="165" spans="1:39" ht="36" customHeight="1">
      <c r="A165" s="496"/>
      <c r="B165" s="1552" t="str">
        <f>IF(AND(NOT(ISBLANK(Worksheet!E171)),NOT(ISBLANK(Worksheet!I171)))," ","")</f>
        <v/>
      </c>
      <c r="C165" s="1171"/>
      <c r="D165" s="1171"/>
      <c r="E165" s="1171"/>
      <c r="F165" s="1171"/>
      <c r="G165" s="1171"/>
      <c r="H165" s="1171"/>
      <c r="I165" s="1171"/>
      <c r="J165" s="1171"/>
      <c r="K165" s="268"/>
      <c r="L165" s="1552" t="str">
        <f>IF(AND(NOT(ISBLANK(Worksheet!E171)),NOT(ISBLANK(Worksheet!I171)))," ","")</f>
        <v/>
      </c>
      <c r="M165" s="1171"/>
      <c r="N165" s="1171"/>
      <c r="O165" s="1171"/>
      <c r="P165" s="1171"/>
      <c r="Q165" s="1171"/>
      <c r="R165" s="1171"/>
      <c r="S165" s="1171"/>
      <c r="T165" s="1171"/>
      <c r="U165" s="363"/>
    </row>
    <row r="166" spans="1:39" ht="42" customHeight="1">
      <c r="A166" s="496"/>
      <c r="B166" s="1507" t="str">
        <f>IF(AND(NOT(ISBLANK(Worksheet!E171)),NOT(ISBLANK(Worksheet!I171))),"Petitioner's Attorney","")</f>
        <v/>
      </c>
      <c r="C166" s="1508"/>
      <c r="D166" s="1508"/>
      <c r="E166" s="1508"/>
      <c r="F166" s="1508"/>
      <c r="G166" s="1508"/>
      <c r="H166" s="1507" t="str">
        <f>IF(AND(NOT(ISBLANK(Worksheet!E171)),NOT(ISBLANK(Worksheet!I171))),"Date","")</f>
        <v/>
      </c>
      <c r="I166" s="1508"/>
      <c r="J166" s="1508"/>
      <c r="K166" s="280"/>
      <c r="L166" s="1507" t="str">
        <f>IF(AND(NOT(ISBLANK(Worksheet!E171)),NOT(ISBLANK(Worksheet!I171))),"Respondent's Attorney","")</f>
        <v/>
      </c>
      <c r="M166" s="1448"/>
      <c r="N166" s="1448"/>
      <c r="O166" s="1448"/>
      <c r="P166" s="1448"/>
      <c r="Q166" s="1448"/>
      <c r="R166" s="1500" t="str">
        <f>IF(AND(NOT(ISBLANK(Worksheet!E171)),NOT(ISBLANK(Worksheet!I171))),"Date","")</f>
        <v/>
      </c>
      <c r="S166" s="1448"/>
      <c r="T166" s="1448"/>
      <c r="U166" s="363"/>
    </row>
    <row r="167" spans="1:39">
      <c r="A167" s="496"/>
      <c r="B167" s="1559">
        <f ca="1">IF(NOT(ISBLANK(Worksheet!J173)),Worksheet!J173,Worksheet!L32)</f>
        <v>42187</v>
      </c>
      <c r="C167" s="1559"/>
      <c r="D167" s="1559"/>
      <c r="E167" s="1559"/>
      <c r="F167" s="1559"/>
      <c r="G167" s="1559"/>
      <c r="H167" s="1559"/>
      <c r="I167" s="1559"/>
      <c r="J167" s="1559"/>
      <c r="K167" s="289"/>
      <c r="L167" s="1547"/>
      <c r="M167" s="1548"/>
      <c r="N167" s="1548"/>
      <c r="O167" s="1548"/>
      <c r="P167" s="1548"/>
      <c r="Q167" s="1548"/>
      <c r="R167" s="1548"/>
      <c r="S167" s="1548"/>
      <c r="T167" s="1548"/>
      <c r="U167" s="363"/>
    </row>
    <row r="168" spans="1:39" ht="12.75" customHeight="1">
      <c r="A168" s="496"/>
      <c r="B168" s="1546" t="s">
        <v>107</v>
      </c>
      <c r="C168" s="1546"/>
      <c r="D168" s="327"/>
      <c r="E168" s="267"/>
      <c r="F168" s="268"/>
      <c r="G168" s="268"/>
      <c r="H168" s="91"/>
      <c r="I168" s="91"/>
      <c r="J168" s="91"/>
      <c r="K168" s="91"/>
      <c r="L168" s="1553" t="str">
        <f>IF(NOT(ISBLANK(County!D7)),County!D7,County!D6)</f>
        <v>Judicial Officer</v>
      </c>
      <c r="M168" s="1554"/>
      <c r="N168" s="1554"/>
      <c r="O168" s="1554"/>
      <c r="P168" s="1554"/>
      <c r="Q168" s="1554"/>
      <c r="R168" s="1554"/>
      <c r="S168" s="1554"/>
      <c r="T168" s="1554"/>
      <c r="U168" s="363"/>
    </row>
    <row r="169" spans="1:39">
      <c r="A169" s="510"/>
      <c r="B169" s="518"/>
      <c r="C169" s="266"/>
      <c r="D169" s="268"/>
      <c r="E169" s="268"/>
      <c r="F169" s="76"/>
      <c r="G169" s="76"/>
      <c r="H169" s="268"/>
      <c r="I169" s="268"/>
      <c r="J169" s="268"/>
      <c r="K169" s="268"/>
      <c r="L169" s="268"/>
      <c r="M169" s="268"/>
      <c r="N169" s="268"/>
      <c r="O169" s="268"/>
      <c r="P169" s="268"/>
      <c r="Q169" s="268"/>
      <c r="R169" s="268"/>
      <c r="S169" s="268"/>
      <c r="T169" s="268"/>
      <c r="U169" s="363"/>
    </row>
    <row r="170" spans="1:39">
      <c r="B170" s="224"/>
      <c r="C170" s="224"/>
      <c r="D170" s="225"/>
      <c r="E170" s="225"/>
      <c r="F170" s="225"/>
      <c r="G170" s="225"/>
      <c r="H170" s="225"/>
      <c r="I170" s="225"/>
      <c r="J170" s="225"/>
      <c r="K170" s="225"/>
      <c r="L170" s="225"/>
      <c r="M170" s="225"/>
      <c r="N170" s="225"/>
      <c r="O170" s="225"/>
      <c r="P170" s="225"/>
      <c r="Q170" s="225"/>
      <c r="R170" s="225"/>
      <c r="S170" s="225"/>
      <c r="T170" s="225"/>
    </row>
    <row r="171" spans="1:39">
      <c r="B171" s="224"/>
      <c r="C171" s="224"/>
      <c r="D171" s="225"/>
      <c r="E171" s="225"/>
      <c r="F171" s="225"/>
      <c r="G171" s="225"/>
      <c r="H171" s="225"/>
      <c r="I171" s="225"/>
      <c r="J171" s="225"/>
      <c r="K171" s="225"/>
      <c r="L171" s="225"/>
      <c r="M171" s="225"/>
      <c r="N171" s="225"/>
      <c r="O171" s="225"/>
      <c r="P171" s="225"/>
      <c r="Q171" s="225"/>
      <c r="R171" s="225"/>
      <c r="S171" s="225"/>
      <c r="T171" s="225"/>
    </row>
    <row r="172" spans="1:39">
      <c r="B172" s="224"/>
      <c r="C172" s="224"/>
      <c r="D172" s="225"/>
      <c r="E172" s="225"/>
      <c r="F172" s="225"/>
      <c r="G172" s="225"/>
      <c r="H172" s="225"/>
      <c r="I172" s="225"/>
      <c r="J172" s="225"/>
      <c r="K172" s="225"/>
      <c r="L172" s="225"/>
      <c r="M172" s="225"/>
      <c r="N172" s="225"/>
      <c r="O172" s="225"/>
      <c r="P172" s="225"/>
      <c r="Q172" s="225"/>
      <c r="R172" s="225"/>
      <c r="S172" s="225"/>
      <c r="T172" s="225"/>
    </row>
    <row r="173" spans="1:39">
      <c r="B173" s="224"/>
      <c r="C173" s="224"/>
      <c r="D173" s="225"/>
      <c r="E173" s="225"/>
      <c r="F173" s="225"/>
      <c r="G173" s="225"/>
      <c r="H173" s="225"/>
      <c r="I173" s="225"/>
      <c r="J173" s="225"/>
      <c r="K173" s="225"/>
      <c r="L173" s="225"/>
      <c r="M173" s="225"/>
      <c r="N173" s="225"/>
      <c r="O173" s="225"/>
      <c r="P173" s="225"/>
      <c r="Q173" s="225"/>
      <c r="R173" s="225"/>
      <c r="S173" s="225"/>
      <c r="T173" s="225"/>
    </row>
    <row r="174" spans="1:39">
      <c r="B174" s="224"/>
      <c r="C174" s="224"/>
      <c r="D174" s="225"/>
      <c r="E174" s="225"/>
      <c r="F174" s="225"/>
      <c r="G174" s="225"/>
      <c r="H174" s="225"/>
      <c r="I174" s="225"/>
      <c r="J174" s="225"/>
      <c r="K174" s="225"/>
      <c r="L174" s="225"/>
      <c r="M174" s="225"/>
      <c r="N174" s="225"/>
      <c r="O174" s="225"/>
      <c r="P174" s="225"/>
      <c r="Q174" s="225"/>
      <c r="R174" s="225"/>
      <c r="S174" s="225"/>
      <c r="T174" s="225"/>
    </row>
    <row r="175" spans="1:39">
      <c r="B175" s="224"/>
      <c r="C175" s="224"/>
      <c r="D175" s="225"/>
      <c r="E175" s="225"/>
      <c r="F175" s="225"/>
      <c r="G175" s="225"/>
      <c r="H175" s="225"/>
      <c r="I175" s="225"/>
      <c r="J175" s="225"/>
      <c r="K175" s="225"/>
      <c r="L175" s="225"/>
      <c r="M175" s="225"/>
      <c r="N175" s="225"/>
      <c r="O175" s="225"/>
      <c r="P175" s="225"/>
      <c r="Q175" s="225"/>
      <c r="R175" s="225"/>
      <c r="S175" s="225"/>
      <c r="T175" s="225"/>
    </row>
    <row r="176" spans="1:39">
      <c r="B176" s="224"/>
      <c r="C176" s="224"/>
      <c r="D176" s="225"/>
      <c r="E176" s="225"/>
      <c r="F176" s="225"/>
      <c r="G176" s="225"/>
      <c r="H176" s="225"/>
      <c r="I176" s="225"/>
      <c r="J176" s="225"/>
      <c r="K176" s="225"/>
      <c r="L176" s="225"/>
      <c r="M176" s="225"/>
      <c r="N176" s="225"/>
      <c r="O176" s="225"/>
      <c r="P176" s="225"/>
      <c r="Q176" s="225"/>
      <c r="R176" s="225"/>
      <c r="S176" s="225"/>
      <c r="T176" s="225"/>
    </row>
    <row r="177" spans="2:34">
      <c r="B177" s="224"/>
      <c r="C177" s="309"/>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2:34">
      <c r="B178" s="224"/>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2:34">
      <c r="B179" s="224"/>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2:34">
      <c r="B180" s="224"/>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2:34">
      <c r="B181" s="224"/>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2:34">
      <c r="B182" s="224"/>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2:34">
      <c r="B183" s="224"/>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2:34">
      <c r="B184" s="224"/>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2:34">
      <c r="B185" s="224"/>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2:34">
      <c r="B186" s="224"/>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2:34">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2:34">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sheetData>
  <sheetProtection password="CA2C" sheet="1" objects="1" scenarios="1"/>
  <mergeCells count="270">
    <mergeCell ref="C47:T47"/>
    <mergeCell ref="C46:G46"/>
    <mergeCell ref="F59:T59"/>
    <mergeCell ref="F51:T51"/>
    <mergeCell ref="G66:T66"/>
    <mergeCell ref="O71:Q71"/>
    <mergeCell ref="C49:T49"/>
    <mergeCell ref="C50:E50"/>
    <mergeCell ref="G55:J55"/>
    <mergeCell ref="C55:F55"/>
    <mergeCell ref="R54:T54"/>
    <mergeCell ref="F54:Q54"/>
    <mergeCell ref="J56:L56"/>
    <mergeCell ref="P56:T56"/>
    <mergeCell ref="M56:O56"/>
    <mergeCell ref="C51:E51"/>
    <mergeCell ref="C68:G68"/>
    <mergeCell ref="H68:T68"/>
    <mergeCell ref="C69:T69"/>
    <mergeCell ref="K63:T63"/>
    <mergeCell ref="E63:J63"/>
    <mergeCell ref="C54:E54"/>
    <mergeCell ref="K55:L55"/>
    <mergeCell ref="M55:P55"/>
    <mergeCell ref="B4:T4"/>
    <mergeCell ref="E21:I21"/>
    <mergeCell ref="C43:T43"/>
    <mergeCell ref="E32:L32"/>
    <mergeCell ref="M32:R32"/>
    <mergeCell ref="C33:F33"/>
    <mergeCell ref="G33:J33"/>
    <mergeCell ref="K33:T33"/>
    <mergeCell ref="C34:T34"/>
    <mergeCell ref="C36:F36"/>
    <mergeCell ref="G36:N36"/>
    <mergeCell ref="O36:T36"/>
    <mergeCell ref="C29:E29"/>
    <mergeCell ref="F29:L29"/>
    <mergeCell ref="M29:R29"/>
    <mergeCell ref="B6:J6"/>
    <mergeCell ref="K21:L21"/>
    <mergeCell ref="K22:L22"/>
    <mergeCell ref="K23:L23"/>
    <mergeCell ref="M21:P21"/>
    <mergeCell ref="L10:S11"/>
    <mergeCell ref="L12:S12"/>
    <mergeCell ref="M24:P24"/>
    <mergeCell ref="K24:L24"/>
    <mergeCell ref="C45:E45"/>
    <mergeCell ref="F45:T45"/>
    <mergeCell ref="B10:J12"/>
    <mergeCell ref="B15:T15"/>
    <mergeCell ref="K46:T46"/>
    <mergeCell ref="H46:J46"/>
    <mergeCell ref="M5:N6"/>
    <mergeCell ref="O5:S6"/>
    <mergeCell ref="O7:S8"/>
    <mergeCell ref="E22:I22"/>
    <mergeCell ref="E23:I23"/>
    <mergeCell ref="C20:S20"/>
    <mergeCell ref="M22:P22"/>
    <mergeCell ref="M23:P23"/>
    <mergeCell ref="B5:J5"/>
    <mergeCell ref="H7:J7"/>
    <mergeCell ref="B8:J8"/>
    <mergeCell ref="B9:J9"/>
    <mergeCell ref="B13:G13"/>
    <mergeCell ref="H13:J13"/>
    <mergeCell ref="B14:J14"/>
    <mergeCell ref="C18:T18"/>
    <mergeCell ref="B16:T16"/>
    <mergeCell ref="L7:N8"/>
    <mergeCell ref="Q79:S79"/>
    <mergeCell ref="C75:E75"/>
    <mergeCell ref="E24:I24"/>
    <mergeCell ref="L130:M130"/>
    <mergeCell ref="R129:S129"/>
    <mergeCell ref="C108:T108"/>
    <mergeCell ref="J127:K127"/>
    <mergeCell ref="L127:M127"/>
    <mergeCell ref="H105:N105"/>
    <mergeCell ref="C115:T115"/>
    <mergeCell ref="C79:F79"/>
    <mergeCell ref="N95:P95"/>
    <mergeCell ref="C81:T81"/>
    <mergeCell ref="R130:S130"/>
    <mergeCell ref="L129:M129"/>
    <mergeCell ref="N129:O129"/>
    <mergeCell ref="P129:Q129"/>
    <mergeCell ref="C85:T85"/>
    <mergeCell ref="J80:M80"/>
    <mergeCell ref="C71:E71"/>
    <mergeCell ref="F71:N71"/>
    <mergeCell ref="R71:T71"/>
    <mergeCell ref="C63:D63"/>
    <mergeCell ref="C58:F58"/>
    <mergeCell ref="G84:P84"/>
    <mergeCell ref="I48:T48"/>
    <mergeCell ref="F50:T50"/>
    <mergeCell ref="N132:O132"/>
    <mergeCell ref="P132:Q132"/>
    <mergeCell ref="N130:O130"/>
    <mergeCell ref="H130:I130"/>
    <mergeCell ref="N96:P96"/>
    <mergeCell ref="L72:O72"/>
    <mergeCell ref="C80:I80"/>
    <mergeCell ref="N80:O80"/>
    <mergeCell ref="R89:T89"/>
    <mergeCell ref="D91:M91"/>
    <mergeCell ref="D92:M92"/>
    <mergeCell ref="D93:M93"/>
    <mergeCell ref="D94:M94"/>
    <mergeCell ref="D95:M95"/>
    <mergeCell ref="D97:M97"/>
    <mergeCell ref="E98:M98"/>
    <mergeCell ref="N98:P98"/>
    <mergeCell ref="C48:E48"/>
    <mergeCell ref="F48:H48"/>
    <mergeCell ref="C64:T64"/>
    <mergeCell ref="C66:F66"/>
    <mergeCell ref="J133:K133"/>
    <mergeCell ref="C137:T137"/>
    <mergeCell ref="Q86:T86"/>
    <mergeCell ref="P130:Q130"/>
    <mergeCell ref="B61:T61"/>
    <mergeCell ref="G58:T58"/>
    <mergeCell ref="C59:E59"/>
    <mergeCell ref="C82:J82"/>
    <mergeCell ref="G122:H122"/>
    <mergeCell ref="H104:N104"/>
    <mergeCell ref="N82:P82"/>
    <mergeCell ref="Q82:T82"/>
    <mergeCell ref="K82:M82"/>
    <mergeCell ref="H88:P88"/>
    <mergeCell ref="C72:K72"/>
    <mergeCell ref="O86:P86"/>
    <mergeCell ref="M122:N122"/>
    <mergeCell ref="G79:P79"/>
    <mergeCell ref="F76:T76"/>
    <mergeCell ref="C77:F77"/>
    <mergeCell ref="G77:T77"/>
    <mergeCell ref="E99:M99"/>
    <mergeCell ref="N99:P99"/>
    <mergeCell ref="D96:M96"/>
    <mergeCell ref="M25:P25"/>
    <mergeCell ref="E25:I25"/>
    <mergeCell ref="M26:P26"/>
    <mergeCell ref="C38:T38"/>
    <mergeCell ref="O41:P41"/>
    <mergeCell ref="Q41:T41"/>
    <mergeCell ref="K27:L27"/>
    <mergeCell ref="C30:F30"/>
    <mergeCell ref="G30:K30"/>
    <mergeCell ref="C37:T37"/>
    <mergeCell ref="K25:L25"/>
    <mergeCell ref="K26:L26"/>
    <mergeCell ref="M27:P27"/>
    <mergeCell ref="E27:I27"/>
    <mergeCell ref="E26:I26"/>
    <mergeCell ref="C39:G39"/>
    <mergeCell ref="H39:T39"/>
    <mergeCell ref="C40:S40"/>
    <mergeCell ref="B163:J163"/>
    <mergeCell ref="B161:D161"/>
    <mergeCell ref="D147:T147"/>
    <mergeCell ref="D148:T148"/>
    <mergeCell ref="D149:T149"/>
    <mergeCell ref="D150:T150"/>
    <mergeCell ref="C157:G157"/>
    <mergeCell ref="C156:R156"/>
    <mergeCell ref="H157:T157"/>
    <mergeCell ref="C158:T158"/>
    <mergeCell ref="C154:G154"/>
    <mergeCell ref="C160:T160"/>
    <mergeCell ref="B167:J167"/>
    <mergeCell ref="R132:S132"/>
    <mergeCell ref="C103:T103"/>
    <mergeCell ref="C102:T102"/>
    <mergeCell ref="N89:Q89"/>
    <mergeCell ref="H129:I129"/>
    <mergeCell ref="M118:N118"/>
    <mergeCell ref="C120:T120"/>
    <mergeCell ref="C111:T111"/>
    <mergeCell ref="C112:T112"/>
    <mergeCell ref="C114:F114"/>
    <mergeCell ref="L128:M128"/>
    <mergeCell ref="H154:T154"/>
    <mergeCell ref="L165:T165"/>
    <mergeCell ref="H128:I128"/>
    <mergeCell ref="P131:Q131"/>
    <mergeCell ref="J131:K131"/>
    <mergeCell ref="C145:T145"/>
    <mergeCell ref="B143:T143"/>
    <mergeCell ref="J130:K130"/>
    <mergeCell ref="N131:O131"/>
    <mergeCell ref="R133:S133"/>
    <mergeCell ref="R131:S131"/>
    <mergeCell ref="F124:T124"/>
    <mergeCell ref="B168:C168"/>
    <mergeCell ref="L167:T167"/>
    <mergeCell ref="E118:F118"/>
    <mergeCell ref="Q88:S88"/>
    <mergeCell ref="N92:P92"/>
    <mergeCell ref="N91:P91"/>
    <mergeCell ref="N94:P94"/>
    <mergeCell ref="H106:N106"/>
    <mergeCell ref="C117:T117"/>
    <mergeCell ref="C110:T110"/>
    <mergeCell ref="G118:H118"/>
    <mergeCell ref="C141:T141"/>
    <mergeCell ref="B165:J165"/>
    <mergeCell ref="H132:I132"/>
    <mergeCell ref="H133:I133"/>
    <mergeCell ref="J129:K129"/>
    <mergeCell ref="L168:T168"/>
    <mergeCell ref="C151:E151"/>
    <mergeCell ref="F151:T151"/>
    <mergeCell ref="C152:T152"/>
    <mergeCell ref="C153:T153"/>
    <mergeCell ref="R164:T164"/>
    <mergeCell ref="E161:T161"/>
    <mergeCell ref="L132:M132"/>
    <mergeCell ref="B2:T2"/>
    <mergeCell ref="B3:T3"/>
    <mergeCell ref="B166:G166"/>
    <mergeCell ref="H166:J166"/>
    <mergeCell ref="R166:T166"/>
    <mergeCell ref="L166:Q166"/>
    <mergeCell ref="L164:Q164"/>
    <mergeCell ref="G114:T114"/>
    <mergeCell ref="C74:G74"/>
    <mergeCell ref="H74:T74"/>
    <mergeCell ref="F75:T75"/>
    <mergeCell ref="C76:E76"/>
    <mergeCell ref="P80:S80"/>
    <mergeCell ref="C84:F84"/>
    <mergeCell ref="Q84:S84"/>
    <mergeCell ref="C101:T101"/>
    <mergeCell ref="N97:P97"/>
    <mergeCell ref="N93:P93"/>
    <mergeCell ref="C88:G88"/>
    <mergeCell ref="C89:M89"/>
    <mergeCell ref="E122:F122"/>
    <mergeCell ref="C139:T139"/>
    <mergeCell ref="O135:P135"/>
    <mergeCell ref="Q135:T135"/>
    <mergeCell ref="H164:J164"/>
    <mergeCell ref="N128:O128"/>
    <mergeCell ref="P128:Q128"/>
    <mergeCell ref="C124:E124"/>
    <mergeCell ref="L133:M133"/>
    <mergeCell ref="N133:O133"/>
    <mergeCell ref="P133:Q133"/>
    <mergeCell ref="L163:T163"/>
    <mergeCell ref="B164:G164"/>
    <mergeCell ref="J132:K132"/>
    <mergeCell ref="C146:T146"/>
    <mergeCell ref="C126:G127"/>
    <mergeCell ref="C138:T138"/>
    <mergeCell ref="L131:M131"/>
    <mergeCell ref="H131:I131"/>
    <mergeCell ref="P127:Q127"/>
    <mergeCell ref="R127:S127"/>
    <mergeCell ref="J128:K128"/>
    <mergeCell ref="R128:S128"/>
    <mergeCell ref="H126:I127"/>
    <mergeCell ref="N127:O127"/>
    <mergeCell ref="J126:S126"/>
    <mergeCell ref="C155:Q155"/>
    <mergeCell ref="R155:T155"/>
  </mergeCells>
  <phoneticPr fontId="0" type="noConversion"/>
  <conditionalFormatting sqref="C75:E76">
    <cfRule type="expression" dxfId="118" priority="51" stopIfTrue="1">
      <formula>NOT(ISNUMBER($C$77))</formula>
    </cfRule>
  </conditionalFormatting>
  <conditionalFormatting sqref="Q22:Q27">
    <cfRule type="expression" dxfId="117" priority="53" stopIfTrue="1">
      <formula>ISNUMBER(Q22)</formula>
    </cfRule>
  </conditionalFormatting>
  <conditionalFormatting sqref="H128:I133">
    <cfRule type="expression" dxfId="116" priority="54" stopIfTrue="1">
      <formula>AND(NOT(ISNUMBER(G128)),NOT(ISNUMBER(H128)))</formula>
    </cfRule>
  </conditionalFormatting>
  <conditionalFormatting sqref="G128:G133">
    <cfRule type="expression" dxfId="115" priority="8" stopIfTrue="1">
      <formula>ISNUMBER(G128)</formula>
    </cfRule>
    <cfRule type="expression" dxfId="114" priority="55" stopIfTrue="1">
      <formula>AND(NOT(ISNUMBER(G128)),NOT(ISNUMBER(H128)))</formula>
    </cfRule>
  </conditionalFormatting>
  <conditionalFormatting sqref="C128:C133">
    <cfRule type="expression" dxfId="113" priority="56" stopIfTrue="1">
      <formula>AND(NOT(ISNUMBER(G128)),NOT(ISNUMBER(H128)))</formula>
    </cfRule>
  </conditionalFormatting>
  <conditionalFormatting sqref="F128:F133">
    <cfRule type="expression" dxfId="112" priority="57" stopIfTrue="1">
      <formula>AND(NOT(ISNUMBER(G128)),NOT(ISNUMBER(H128)))</formula>
    </cfRule>
  </conditionalFormatting>
  <conditionalFormatting sqref="E128:E133">
    <cfRule type="expression" dxfId="111" priority="58" stopIfTrue="1">
      <formula>AND(NOT(ISNUMBER(G128)),NOT(ISNUMBER(H128)))</formula>
    </cfRule>
  </conditionalFormatting>
  <conditionalFormatting sqref="D128:D133">
    <cfRule type="expression" dxfId="110" priority="59" stopIfTrue="1">
      <formula>AND(NOT(ISNUMBER(G128)),NOT(ISNUMBER(H128)))</formula>
    </cfRule>
  </conditionalFormatting>
  <conditionalFormatting sqref="J128:K133">
    <cfRule type="expression" dxfId="109" priority="60" stopIfTrue="1">
      <formula>AND(NOT(ISNUMBER(G128)),NOT(ISNUMBER(H128)))</formula>
    </cfRule>
    <cfRule type="expression" dxfId="108" priority="61" stopIfTrue="1">
      <formula>J128=0</formula>
    </cfRule>
  </conditionalFormatting>
  <conditionalFormatting sqref="L128:M133">
    <cfRule type="expression" dxfId="107" priority="62" stopIfTrue="1">
      <formula>AND(NOT(ISNUMBER(G128)),NOT(ISNUMBER(H128)))</formula>
    </cfRule>
    <cfRule type="expression" dxfId="106" priority="63" stopIfTrue="1">
      <formula>L128=0</formula>
    </cfRule>
  </conditionalFormatting>
  <conditionalFormatting sqref="N128:O133">
    <cfRule type="expression" dxfId="105" priority="64" stopIfTrue="1">
      <formula>AND(NOT(ISNUMBER(G128)),NOT(ISNUMBER(H128)))</formula>
    </cfRule>
    <cfRule type="expression" dxfId="104" priority="65" stopIfTrue="1">
      <formula>N128=0</formula>
    </cfRule>
  </conditionalFormatting>
  <conditionalFormatting sqref="P128:Q133">
    <cfRule type="expression" dxfId="103" priority="66" stopIfTrue="1">
      <formula>AND(NOT(ISNUMBER(G128)),NOT(ISNUMBER(H128)))</formula>
    </cfRule>
    <cfRule type="expression" dxfId="102" priority="67" stopIfTrue="1">
      <formula>P128=0</formula>
    </cfRule>
  </conditionalFormatting>
  <conditionalFormatting sqref="R128:S133">
    <cfRule type="expression" dxfId="101" priority="68" stopIfTrue="1">
      <formula>AND(NOT(ISNUMBER(G128)),NOT(ISNUMBER(H128)))</formula>
    </cfRule>
    <cfRule type="expression" dxfId="100" priority="69" stopIfTrue="1">
      <formula>R128=0</formula>
    </cfRule>
  </conditionalFormatting>
  <conditionalFormatting sqref="K22:L27">
    <cfRule type="expression" dxfId="99" priority="21" stopIfTrue="1">
      <formula>ISNUMBER($K22)</formula>
    </cfRule>
  </conditionalFormatting>
  <conditionalFormatting sqref="C59:E59">
    <cfRule type="expression" dxfId="98" priority="18" stopIfTrue="1">
      <formula>NOT(ISNUMBER($C$59))</formula>
    </cfRule>
  </conditionalFormatting>
  <conditionalFormatting sqref="B163:J163 L163:T163 B165:J165 L165:T165">
    <cfRule type="expression" dxfId="97" priority="16" stopIfTrue="1">
      <formula>$B$163=""</formula>
    </cfRule>
  </conditionalFormatting>
  <conditionalFormatting sqref="O36:T36">
    <cfRule type="expression" dxfId="96" priority="14" stopIfTrue="1">
      <formula>$G$36="There is no presumptive father in this case."</formula>
    </cfRule>
  </conditionalFormatting>
  <conditionalFormatting sqref="F48:H48">
    <cfRule type="expression" dxfId="95" priority="13" stopIfTrue="1">
      <formula>NOT(ISNUMBER($F$48))</formula>
    </cfRule>
  </conditionalFormatting>
  <conditionalFormatting sqref="C51:E51">
    <cfRule type="expression" dxfId="94" priority="12" stopIfTrue="1">
      <formula>NOT(ISNUMBER($C$51))</formula>
    </cfRule>
  </conditionalFormatting>
  <conditionalFormatting sqref="J56:L56 P56:T56 R54:T54 G55:J55 M55:P55">
    <cfRule type="expression" dxfId="93" priority="11" stopIfTrue="1">
      <formula>NOT(ISNUMBER($R$54))</formula>
    </cfRule>
  </conditionalFormatting>
  <conditionalFormatting sqref="Q79:S79 J80:M80 P80:S80">
    <cfRule type="expression" dxfId="92" priority="10" stopIfTrue="1">
      <formula>NOT(ISNUMBER($Q$79))</formula>
    </cfRule>
  </conditionalFormatting>
  <conditionalFormatting sqref="Q84:S84">
    <cfRule type="expression" dxfId="91" priority="9" stopIfTrue="1">
      <formula>NOT(ISNUMBER($Q$84))</formula>
    </cfRule>
  </conditionalFormatting>
  <conditionalFormatting sqref="R155:T155">
    <cfRule type="expression" dxfId="90" priority="7" stopIfTrue="1">
      <formula>NOT(ISNUMBER($R$155))</formula>
    </cfRule>
  </conditionalFormatting>
  <conditionalFormatting sqref="C157:G157">
    <cfRule type="expression" dxfId="89" priority="6" stopIfTrue="1">
      <formula>NOT(ISNUMBER($C$157))</formula>
    </cfRule>
  </conditionalFormatting>
  <conditionalFormatting sqref="Q82:T82">
    <cfRule type="expression" dxfId="88" priority="2" stopIfTrue="1">
      <formula>NOT(ISNUMBER($Q$82))</formula>
    </cfRule>
  </conditionalFormatting>
  <conditionalFormatting sqref="K82:M82">
    <cfRule type="expression" dxfId="87" priority="93" stopIfTrue="1">
      <formula>NOT(ISNUMBER($K$82))</formula>
    </cfRule>
  </conditionalFormatting>
  <conditionalFormatting sqref="C77:F77">
    <cfRule type="expression" dxfId="86" priority="1" stopIfTrue="1">
      <formula>NOT(ISNUMBER($C$77))</formula>
    </cfRule>
  </conditionalFormatting>
  <pageMargins left="0.75" right="0.45" top="0.75" bottom="0.75" header="0.5" footer="0.5"/>
  <pageSetup fitToHeight="0" orientation="portrait" horizontalDpi="1200" verticalDpi="1200" r:id="rId1"/>
  <headerFooter alignWithMargins="0">
    <oddFooter>&amp;RPage &amp;P of 4</oddFooter>
  </headerFooter>
  <rowBreaks count="3" manualBreakCount="3">
    <brk id="40" min="1" max="19" man="1"/>
    <brk id="85" min="1" max="19" man="1"/>
    <brk id="134" min="1" max="19" man="1"/>
  </rowBreaks>
</worksheet>
</file>

<file path=xl/worksheets/sheet4.xml><?xml version="1.0" encoding="utf-8"?>
<worksheet xmlns="http://schemas.openxmlformats.org/spreadsheetml/2006/main" xmlns:r="http://schemas.openxmlformats.org/officeDocument/2006/relationships">
  <dimension ref="B1:AE168"/>
  <sheetViews>
    <sheetView workbookViewId="0">
      <selection activeCell="L20" sqref="L20"/>
    </sheetView>
  </sheetViews>
  <sheetFormatPr defaultRowHeight="12.75"/>
  <cols>
    <col min="1" max="1" width="0.85546875" style="724" customWidth="1"/>
    <col min="2" max="2" width="1.28515625" style="724" customWidth="1"/>
    <col min="3" max="4" width="2.28515625" style="724" customWidth="1"/>
    <col min="5" max="6" width="2.7109375" style="724" customWidth="1"/>
    <col min="7" max="7" width="6.7109375" style="724" customWidth="1"/>
    <col min="8" max="8" width="8.42578125" style="724" customWidth="1"/>
    <col min="9" max="9" width="6.7109375" style="724" customWidth="1"/>
    <col min="10" max="10" width="7.42578125" style="724" customWidth="1"/>
    <col min="11" max="11" width="2.28515625" style="724" customWidth="1"/>
    <col min="12" max="12" width="8.140625" style="724" customWidth="1"/>
    <col min="13" max="13" width="2.28515625" style="724" customWidth="1"/>
    <col min="14" max="14" width="8.5703125" style="724" customWidth="1"/>
    <col min="15" max="15" width="2.28515625" style="724" customWidth="1"/>
    <col min="16" max="16" width="4.5703125" style="724" customWidth="1"/>
    <col min="17" max="17" width="2.7109375" style="724" customWidth="1"/>
    <col min="18" max="18" width="6.7109375" style="724" customWidth="1"/>
    <col min="19" max="19" width="2.7109375" style="724" customWidth="1"/>
    <col min="20" max="20" width="7.5703125" style="724" customWidth="1"/>
    <col min="21" max="22" width="1.5703125" style="724" customWidth="1"/>
    <col min="23" max="16384" width="9.140625" style="724"/>
  </cols>
  <sheetData>
    <row r="1" spans="2:21" ht="24" customHeight="1">
      <c r="B1" s="1722" t="s">
        <v>430</v>
      </c>
      <c r="C1" s="1723"/>
      <c r="D1" s="1723"/>
      <c r="E1" s="1723"/>
      <c r="F1" s="1723"/>
      <c r="G1" s="1723"/>
      <c r="H1" s="1723"/>
      <c r="I1" s="1723"/>
      <c r="J1" s="1723"/>
      <c r="K1" s="1723"/>
      <c r="L1" s="1723"/>
      <c r="M1" s="1723"/>
      <c r="N1" s="1723"/>
      <c r="O1" s="1723"/>
      <c r="P1" s="1723"/>
      <c r="Q1" s="1723"/>
      <c r="R1" s="1723"/>
      <c r="S1" s="1723"/>
      <c r="T1" s="1723"/>
      <c r="U1" s="1723"/>
    </row>
    <row r="2" spans="2:21" s="797" customFormat="1" ht="11.25" customHeight="1">
      <c r="D2" s="725" t="str">
        <f>IF(Worksheet!G217="x",Worksheet!G217,"")</f>
        <v>x</v>
      </c>
      <c r="E2" s="798" t="s">
        <v>433</v>
      </c>
    </row>
    <row r="3" spans="2:21" s="797" customFormat="1" ht="3" customHeight="1">
      <c r="D3" s="726"/>
      <c r="E3" s="799"/>
    </row>
    <row r="4" spans="2:21" s="797" customFormat="1" ht="11.25" customHeight="1">
      <c r="D4" s="725" t="str">
        <f>IF(NOT(ISBLANK(Worksheet!G218)),Worksheet!G218,"")</f>
        <v/>
      </c>
      <c r="E4" s="798" t="s">
        <v>434</v>
      </c>
    </row>
    <row r="5" spans="2:21" s="797" customFormat="1" ht="3" customHeight="1">
      <c r="D5" s="726"/>
      <c r="E5" s="798"/>
    </row>
    <row r="6" spans="2:21" s="797" customFormat="1" ht="11.25" customHeight="1">
      <c r="D6" s="725" t="str">
        <f>IF(NOT(ISBLANK(Worksheet!G219)),Worksheet!G219,"")</f>
        <v/>
      </c>
      <c r="E6" s="798" t="s">
        <v>435</v>
      </c>
    </row>
    <row r="7" spans="2:21" s="797" customFormat="1" ht="3" customHeight="1">
      <c r="D7" s="726"/>
      <c r="E7" s="798"/>
    </row>
    <row r="8" spans="2:21" s="797" customFormat="1" ht="11.25" customHeight="1">
      <c r="D8" s="725" t="str">
        <f>IF(NOT(ISBLANK(Worksheet!G220)),Worksheet!G220,"")</f>
        <v/>
      </c>
      <c r="E8" s="798" t="s">
        <v>436</v>
      </c>
      <c r="N8" s="802" t="s">
        <v>448</v>
      </c>
      <c r="O8" s="1729">
        <f ca="1">IF(NOT(ISBLANK(Worksheet!L32)),Worksheet!L32,"")</f>
        <v>42187</v>
      </c>
      <c r="P8" s="1729"/>
      <c r="Q8" s="1729"/>
      <c r="R8" s="1729"/>
      <c r="S8" s="1729"/>
      <c r="T8" s="1730"/>
    </row>
    <row r="9" spans="2:21" ht="6.75" customHeight="1"/>
    <row r="10" spans="2:21" ht="4.5" customHeight="1">
      <c r="B10" s="727"/>
      <c r="C10" s="728"/>
      <c r="D10" s="728"/>
      <c r="E10" s="728"/>
      <c r="F10" s="728"/>
      <c r="G10" s="728"/>
      <c r="H10" s="728"/>
      <c r="I10" s="728"/>
      <c r="J10" s="728"/>
      <c r="K10" s="728"/>
      <c r="L10" s="728"/>
      <c r="M10" s="728"/>
      <c r="N10" s="728"/>
      <c r="O10" s="728"/>
      <c r="P10" s="728"/>
      <c r="Q10" s="728"/>
      <c r="R10" s="728"/>
      <c r="S10" s="728"/>
      <c r="T10" s="728"/>
      <c r="U10" s="729"/>
    </row>
    <row r="11" spans="2:21" ht="11.25" customHeight="1">
      <c r="B11" s="804"/>
      <c r="C11" s="835" t="str">
        <f>IF(Worksheet!G223="x",Worksheet!G223,"")</f>
        <v/>
      </c>
      <c r="D11" s="801" t="s">
        <v>438</v>
      </c>
      <c r="E11" s="801"/>
      <c r="F11" s="801"/>
      <c r="G11" s="801"/>
      <c r="H11" s="801"/>
      <c r="I11" s="801"/>
      <c r="J11" s="801"/>
      <c r="K11" s="835" t="str">
        <f>IF(Worksheet!G222="x",Worksheet!G222,"")</f>
        <v>x</v>
      </c>
      <c r="L11" s="801" t="s">
        <v>449</v>
      </c>
      <c r="M11" s="835" t="str">
        <f>IF(Worksheet!G224="x",Worksheet!G224,"")</f>
        <v/>
      </c>
      <c r="N11" s="801" t="s">
        <v>450</v>
      </c>
      <c r="O11" s="835" t="str">
        <f>IF(Worksheet!G225="x",Worksheet!G225,"")</f>
        <v/>
      </c>
      <c r="P11" s="1734" t="s">
        <v>451</v>
      </c>
      <c r="Q11" s="1734"/>
      <c r="R11" s="1734"/>
      <c r="S11" s="1734"/>
      <c r="T11" s="1734"/>
      <c r="U11" s="836"/>
    </row>
    <row r="12" spans="2:21" ht="60" customHeight="1">
      <c r="B12" s="807"/>
      <c r="C12" s="1731" t="s">
        <v>624</v>
      </c>
      <c r="D12" s="1732"/>
      <c r="E12" s="1732"/>
      <c r="F12" s="1732"/>
      <c r="G12" s="1732"/>
      <c r="H12" s="1732"/>
      <c r="I12" s="1732"/>
      <c r="J12" s="1732"/>
      <c r="K12" s="1732"/>
      <c r="L12" s="1732"/>
      <c r="M12" s="1732"/>
      <c r="N12" s="1732"/>
      <c r="O12" s="1732"/>
      <c r="P12" s="1732"/>
      <c r="Q12" s="1732"/>
      <c r="R12" s="1732"/>
      <c r="S12" s="1732"/>
      <c r="T12" s="1732"/>
      <c r="U12" s="1733"/>
    </row>
    <row r="13" spans="2:21" ht="6" customHeight="1">
      <c r="B13" s="803"/>
      <c r="C13" s="803"/>
      <c r="D13" s="803"/>
      <c r="E13" s="803"/>
      <c r="F13" s="803"/>
      <c r="G13" s="803"/>
      <c r="H13" s="803"/>
      <c r="I13" s="803"/>
      <c r="J13" s="803"/>
      <c r="K13" s="803"/>
      <c r="L13" s="803"/>
      <c r="M13" s="803"/>
      <c r="N13" s="803"/>
      <c r="O13" s="803"/>
      <c r="P13" s="803"/>
      <c r="Q13" s="803"/>
      <c r="R13" s="803"/>
      <c r="S13" s="803"/>
      <c r="T13" s="803"/>
      <c r="U13" s="803"/>
    </row>
    <row r="14" spans="2:21" ht="13.5">
      <c r="B14" s="803"/>
      <c r="C14" s="1656" t="s">
        <v>431</v>
      </c>
      <c r="D14" s="1656"/>
      <c r="E14" s="1656"/>
      <c r="F14" s="1656"/>
      <c r="G14" s="1656"/>
      <c r="H14" s="1686" t="str">
        <f>IF(NOT(ISBLANK(County!D11)),County!D11,"")</f>
        <v>Arizona</v>
      </c>
      <c r="I14" s="1686"/>
      <c r="J14" s="1686"/>
      <c r="K14" s="803"/>
      <c r="L14" s="1657" t="s">
        <v>587</v>
      </c>
      <c r="M14" s="1658"/>
      <c r="N14" s="1658"/>
      <c r="O14" s="1658"/>
      <c r="P14" s="1658"/>
      <c r="Q14" s="1659" t="str">
        <f>IF(NOT(ISBLANK(Worksheet!I242)),Worksheet!I242,"")</f>
        <v/>
      </c>
      <c r="R14" s="1660"/>
      <c r="S14" s="1660"/>
      <c r="T14" s="1660"/>
      <c r="U14" s="808"/>
    </row>
    <row r="15" spans="2:21" ht="13.5">
      <c r="B15" s="803"/>
      <c r="C15" s="1656" t="s">
        <v>432</v>
      </c>
      <c r="D15" s="1656"/>
      <c r="E15" s="1656"/>
      <c r="F15" s="1656"/>
      <c r="G15" s="1656"/>
      <c r="H15" s="1726" t="str">
        <f>IF(NOT(ISBLANK(County!D12)),County!D12,"")</f>
        <v>Maricopa</v>
      </c>
      <c r="I15" s="1726"/>
      <c r="J15" s="1726"/>
      <c r="K15" s="803"/>
      <c r="L15" s="809" t="s">
        <v>588</v>
      </c>
      <c r="M15" s="1661" t="str">
        <f>IF(NOT(ISBLANK(Worksheet!F10)),Worksheet!F10,"")</f>
        <v/>
      </c>
      <c r="N15" s="1660"/>
      <c r="O15" s="1660"/>
      <c r="P15" s="1660"/>
      <c r="Q15" s="1660"/>
      <c r="R15" s="1660"/>
      <c r="S15" s="1660"/>
      <c r="T15" s="1660"/>
      <c r="U15" s="810"/>
    </row>
    <row r="16" spans="2:21" ht="13.5">
      <c r="B16" s="803"/>
      <c r="C16" s="1656" t="str">
        <f>IF(NOT(ISBLANK(Worksheet!G224)),"Attorney","Private Individual/Entity")</f>
        <v>Private Individual/Entity</v>
      </c>
      <c r="D16" s="1656"/>
      <c r="E16" s="1656"/>
      <c r="F16" s="1656"/>
      <c r="G16" s="1656"/>
      <c r="H16" s="1686" t="str">
        <f>IF(NOT(ISBLANK(Worksheet!G225)),Worksheet!P225,IF(NOT(ISBLANK(Worksheet!G224)),Worksheet!N224,""))</f>
        <v/>
      </c>
      <c r="I16" s="1686"/>
      <c r="J16" s="1686"/>
      <c r="K16" s="803"/>
      <c r="L16" s="1656" t="s">
        <v>589</v>
      </c>
      <c r="M16" s="1658"/>
      <c r="N16" s="1658"/>
      <c r="O16" s="1662" t="str">
        <f>IF(NOT(ISBLANK(Worksheet!I242)),Worksheet!I242,"")</f>
        <v/>
      </c>
      <c r="P16" s="1663"/>
      <c r="Q16" s="1663"/>
      <c r="R16" s="1663"/>
      <c r="S16" s="1663"/>
      <c r="T16" s="1663"/>
      <c r="U16" s="811"/>
    </row>
    <row r="17" spans="2:21" ht="13.5">
      <c r="B17" s="803"/>
      <c r="C17" s="803"/>
      <c r="D17" s="803"/>
      <c r="E17" s="803"/>
      <c r="F17" s="803"/>
      <c r="G17" s="803"/>
      <c r="H17" s="803"/>
      <c r="I17" s="803"/>
      <c r="J17" s="803"/>
      <c r="K17" s="803"/>
      <c r="L17" s="803"/>
      <c r="M17" s="803"/>
      <c r="N17" s="803"/>
      <c r="O17" s="803"/>
      <c r="P17" s="803"/>
      <c r="Q17" s="803"/>
      <c r="R17" s="803"/>
      <c r="S17" s="803"/>
      <c r="T17" s="803"/>
      <c r="U17" s="803"/>
    </row>
    <row r="18" spans="2:21" ht="15.95" customHeight="1">
      <c r="B18" s="812"/>
      <c r="C18" s="1726" t="str">
        <f>IF(NOT(ISBLANK(Worksheet!I228)),Worksheet!I228,"")</f>
        <v/>
      </c>
      <c r="D18" s="1726"/>
      <c r="E18" s="1726"/>
      <c r="F18" s="1726"/>
      <c r="G18" s="1726"/>
      <c r="H18" s="1726"/>
      <c r="I18" s="1726"/>
      <c r="J18" s="1726"/>
      <c r="K18" s="1726"/>
      <c r="L18" s="813" t="s">
        <v>452</v>
      </c>
      <c r="M18" s="1726" t="str">
        <f>IF(NOT(ISBLANK(Worksheet!I234)),Worksheet!I234,IF(NOT(ISBLANK(Worksheet!I233)),Worksheet!I233,""))</f>
        <v/>
      </c>
      <c r="N18" s="1726"/>
      <c r="O18" s="1726"/>
      <c r="P18" s="1726"/>
      <c r="Q18" s="1726"/>
      <c r="R18" s="1726"/>
      <c r="S18" s="1726"/>
      <c r="T18" s="1726"/>
      <c r="U18" s="814"/>
    </row>
    <row r="19" spans="2:21" ht="15.95" customHeight="1">
      <c r="B19" s="815"/>
      <c r="C19" s="1725" t="s">
        <v>441</v>
      </c>
      <c r="D19" s="1725"/>
      <c r="E19" s="1725"/>
      <c r="F19" s="1725"/>
      <c r="G19" s="1725"/>
      <c r="H19" s="1725"/>
      <c r="I19" s="1725"/>
      <c r="J19" s="1725"/>
      <c r="K19" s="1725"/>
      <c r="L19" s="816"/>
      <c r="M19" s="1725" t="s">
        <v>453</v>
      </c>
      <c r="N19" s="1725"/>
      <c r="O19" s="1725"/>
      <c r="P19" s="1725"/>
      <c r="Q19" s="1725"/>
      <c r="R19" s="1725"/>
      <c r="S19" s="1725"/>
      <c r="T19" s="1725"/>
      <c r="U19" s="806"/>
    </row>
    <row r="20" spans="2:21" ht="15.95" customHeight="1">
      <c r="B20" s="815"/>
      <c r="C20" s="1656"/>
      <c r="D20" s="1656"/>
      <c r="E20" s="1656"/>
      <c r="F20" s="1656"/>
      <c r="G20" s="1656"/>
      <c r="H20" s="1656"/>
      <c r="I20" s="1656"/>
      <c r="J20" s="1656"/>
      <c r="K20" s="1656"/>
      <c r="L20" s="817"/>
      <c r="M20" s="1674" t="str">
        <f>IF(NOT(ISBLANK(Worksheet!I235)),Worksheet!I235,"")</f>
        <v/>
      </c>
      <c r="N20" s="1674"/>
      <c r="O20" s="1674"/>
      <c r="P20" s="1674"/>
      <c r="Q20" s="1674"/>
      <c r="R20" s="1674"/>
      <c r="S20" s="1674"/>
      <c r="T20" s="1674"/>
      <c r="U20" s="806"/>
    </row>
    <row r="21" spans="2:21" ht="15.95" customHeight="1">
      <c r="B21" s="815"/>
      <c r="C21" s="1745" t="s">
        <v>442</v>
      </c>
      <c r="D21" s="1745"/>
      <c r="E21" s="1745"/>
      <c r="F21" s="1745"/>
      <c r="G21" s="1745"/>
      <c r="H21" s="1745"/>
      <c r="I21" s="1745"/>
      <c r="J21" s="1745"/>
      <c r="K21" s="1745"/>
      <c r="L21" s="816"/>
      <c r="M21" s="1725" t="s">
        <v>454</v>
      </c>
      <c r="N21" s="1725"/>
      <c r="O21" s="1725"/>
      <c r="P21" s="1725"/>
      <c r="Q21" s="1725"/>
      <c r="R21" s="1725"/>
      <c r="S21" s="1725"/>
      <c r="T21" s="1725"/>
      <c r="U21" s="806"/>
    </row>
    <row r="22" spans="2:21" ht="15.95" customHeight="1">
      <c r="B22" s="815"/>
      <c r="C22" s="1686" t="str">
        <f>IF(NOT(ISBLANK(Worksheet!I229)),Worksheet!I229,"")</f>
        <v/>
      </c>
      <c r="D22" s="1686"/>
      <c r="E22" s="1686"/>
      <c r="F22" s="1686"/>
      <c r="G22" s="1686"/>
      <c r="H22" s="1686"/>
      <c r="I22" s="1686"/>
      <c r="J22" s="1686"/>
      <c r="K22" s="1686"/>
      <c r="L22" s="817"/>
      <c r="M22" s="1686" t="str">
        <f>IF(NOT(ISBLANK(Worksheet!I239)),Worksheet!I239,IF(NOT(ISBLANK(Worksheet!I238)),Worksheet!I238,""))</f>
        <v/>
      </c>
      <c r="N22" s="1686"/>
      <c r="O22" s="1686"/>
      <c r="P22" s="1686"/>
      <c r="Q22" s="1686"/>
      <c r="R22" s="1686"/>
      <c r="S22" s="1686"/>
      <c r="T22" s="1686"/>
      <c r="U22" s="806"/>
    </row>
    <row r="23" spans="2:21" ht="15.95" customHeight="1">
      <c r="B23" s="815"/>
      <c r="C23" s="1726" t="str">
        <f>IF(NOT(ISBLANK(Worksheet!I230)),Worksheet!I230,"")</f>
        <v/>
      </c>
      <c r="D23" s="1726"/>
      <c r="E23" s="1726"/>
      <c r="F23" s="1726"/>
      <c r="G23" s="1726"/>
      <c r="H23" s="1726"/>
      <c r="I23" s="1726"/>
      <c r="J23" s="1726"/>
      <c r="K23" s="1726"/>
      <c r="L23" s="817"/>
      <c r="M23" s="1712" t="s">
        <v>483</v>
      </c>
      <c r="N23" s="1712"/>
      <c r="O23" s="1712"/>
      <c r="P23" s="1712"/>
      <c r="Q23" s="1712"/>
      <c r="R23" s="1712"/>
      <c r="S23" s="1712"/>
      <c r="T23" s="1712"/>
      <c r="U23" s="806"/>
    </row>
    <row r="24" spans="2:21" ht="15.95" customHeight="1">
      <c r="B24" s="815"/>
      <c r="C24" s="1712" t="s">
        <v>506</v>
      </c>
      <c r="D24" s="1712"/>
      <c r="E24" s="1712"/>
      <c r="F24" s="1712"/>
      <c r="G24" s="1712"/>
      <c r="H24" s="1712"/>
      <c r="I24" s="1672" t="str">
        <f>IF(NOT(ISBLANK(Worksheet!I231)),"  "&amp;Worksheet!I231,"")</f>
        <v/>
      </c>
      <c r="J24" s="1672"/>
      <c r="K24" s="1672"/>
      <c r="L24" s="1672"/>
      <c r="M24" s="1739"/>
      <c r="N24" s="1739"/>
      <c r="O24" s="1739"/>
      <c r="P24" s="1739"/>
      <c r="Q24" s="1739"/>
      <c r="R24" s="1739"/>
      <c r="S24" s="1739"/>
      <c r="T24" s="1739"/>
      <c r="U24" s="806"/>
    </row>
    <row r="25" spans="2:21" ht="15.95" customHeight="1">
      <c r="B25" s="815"/>
      <c r="C25" s="1704" t="s">
        <v>546</v>
      </c>
      <c r="D25" s="1704"/>
      <c r="E25" s="1704"/>
      <c r="F25" s="1704"/>
      <c r="G25" s="1704"/>
      <c r="H25" s="1704"/>
      <c r="I25" s="1704"/>
      <c r="J25" s="810"/>
      <c r="K25" s="810" t="s">
        <v>455</v>
      </c>
      <c r="L25" s="817"/>
      <c r="M25" s="817"/>
      <c r="N25" s="810"/>
      <c r="O25" s="810"/>
      <c r="P25" s="1676"/>
      <c r="Q25" s="1677"/>
      <c r="R25" s="1677"/>
      <c r="S25" s="1677"/>
      <c r="T25" s="1678"/>
      <c r="U25" s="806"/>
    </row>
    <row r="26" spans="2:21" ht="15.95" customHeight="1">
      <c r="B26" s="815"/>
      <c r="C26" s="1686" t="str">
        <f>IF(NOT(ISBLANK(Worksheet!F18)),Worksheet!F18,"")</f>
        <v/>
      </c>
      <c r="D26" s="1686"/>
      <c r="E26" s="1686"/>
      <c r="F26" s="1686"/>
      <c r="G26" s="1686"/>
      <c r="H26" s="1686"/>
      <c r="I26" s="1686"/>
      <c r="J26" s="818"/>
      <c r="K26" s="1685" t="str">
        <f>IF(NOT(ISBLANK(Worksheet!M18)),Worksheet!M18,"")</f>
        <v/>
      </c>
      <c r="L26" s="1685"/>
      <c r="M26" s="1685"/>
      <c r="N26" s="1685"/>
      <c r="O26" s="817"/>
      <c r="P26" s="1679"/>
      <c r="Q26" s="1680"/>
      <c r="R26" s="1680"/>
      <c r="S26" s="1680"/>
      <c r="T26" s="1681"/>
      <c r="U26" s="806"/>
    </row>
    <row r="27" spans="2:21" ht="15.95" customHeight="1">
      <c r="B27" s="815"/>
      <c r="C27" s="1686" t="str">
        <f>IF(NOT(ISBLANK(Worksheet!F19)),Worksheet!F19,"")</f>
        <v/>
      </c>
      <c r="D27" s="1686"/>
      <c r="E27" s="1686"/>
      <c r="F27" s="1686"/>
      <c r="G27" s="1686"/>
      <c r="H27" s="1686"/>
      <c r="I27" s="1686"/>
      <c r="J27" s="818"/>
      <c r="K27" s="1685" t="str">
        <f>IF(NOT(ISBLANK(Worksheet!M19)),Worksheet!M19,"")</f>
        <v/>
      </c>
      <c r="L27" s="1685"/>
      <c r="M27" s="1685"/>
      <c r="N27" s="1685"/>
      <c r="O27" s="817"/>
      <c r="P27" s="1679"/>
      <c r="Q27" s="1680"/>
      <c r="R27" s="1680"/>
      <c r="S27" s="1680"/>
      <c r="T27" s="1681"/>
      <c r="U27" s="806"/>
    </row>
    <row r="28" spans="2:21" ht="15.95" customHeight="1">
      <c r="B28" s="815"/>
      <c r="C28" s="1686" t="str">
        <f>IF(NOT(ISBLANK(Worksheet!F20)),Worksheet!F20,"")</f>
        <v/>
      </c>
      <c r="D28" s="1686"/>
      <c r="E28" s="1686"/>
      <c r="F28" s="1686"/>
      <c r="G28" s="1686"/>
      <c r="H28" s="1686"/>
      <c r="I28" s="1686"/>
      <c r="J28" s="818"/>
      <c r="K28" s="1685" t="str">
        <f>IF(NOT(ISBLANK(Worksheet!M20)),Worksheet!M20,"")</f>
        <v/>
      </c>
      <c r="L28" s="1685"/>
      <c r="M28" s="1685"/>
      <c r="N28" s="1685"/>
      <c r="O28" s="817"/>
      <c r="P28" s="1679"/>
      <c r="Q28" s="1680"/>
      <c r="R28" s="1680"/>
      <c r="S28" s="1680"/>
      <c r="T28" s="1681"/>
      <c r="U28" s="806"/>
    </row>
    <row r="29" spans="2:21" ht="15.95" customHeight="1">
      <c r="B29" s="815"/>
      <c r="C29" s="1686" t="str">
        <f>IF(NOT(ISBLANK(Worksheet!F21)),Worksheet!F21,"")</f>
        <v/>
      </c>
      <c r="D29" s="1686"/>
      <c r="E29" s="1686"/>
      <c r="F29" s="1686"/>
      <c r="G29" s="1686"/>
      <c r="H29" s="1686"/>
      <c r="I29" s="1686"/>
      <c r="J29" s="818"/>
      <c r="K29" s="1685" t="str">
        <f>IF(NOT(ISBLANK(Worksheet!M21)),Worksheet!M21,"")</f>
        <v/>
      </c>
      <c r="L29" s="1685"/>
      <c r="M29" s="1685"/>
      <c r="N29" s="1685"/>
      <c r="O29" s="817"/>
      <c r="P29" s="1682"/>
      <c r="Q29" s="1683"/>
      <c r="R29" s="1683"/>
      <c r="S29" s="1683"/>
      <c r="T29" s="1684"/>
      <c r="U29" s="806"/>
    </row>
    <row r="30" spans="2:21" ht="15.95" customHeight="1">
      <c r="B30" s="815"/>
      <c r="C30" s="1686" t="str">
        <f>IF(NOT(ISBLANK(Worksheet!F22)),Worksheet!F22,"")</f>
        <v/>
      </c>
      <c r="D30" s="1686"/>
      <c r="E30" s="1686"/>
      <c r="F30" s="1686"/>
      <c r="G30" s="1686"/>
      <c r="H30" s="1686"/>
      <c r="I30" s="1686"/>
      <c r="J30" s="818"/>
      <c r="K30" s="1685" t="str">
        <f>IF(NOT(ISBLANK(Worksheet!M22)),Worksheet!M22,"")</f>
        <v/>
      </c>
      <c r="L30" s="1685"/>
      <c r="M30" s="1685"/>
      <c r="N30" s="1685"/>
      <c r="O30" s="817"/>
      <c r="P30" s="842"/>
      <c r="Q30" s="842"/>
      <c r="R30" s="842"/>
      <c r="S30" s="842"/>
      <c r="T30" s="842"/>
      <c r="U30" s="806"/>
    </row>
    <row r="31" spans="2:21" ht="15.95" customHeight="1">
      <c r="B31" s="815"/>
      <c r="C31" s="1686" t="str">
        <f>IF(NOT(ISBLANK(Worksheet!F23)),Worksheet!F23,"")</f>
        <v/>
      </c>
      <c r="D31" s="1686"/>
      <c r="E31" s="1686"/>
      <c r="F31" s="1686"/>
      <c r="G31" s="1686"/>
      <c r="H31" s="1686"/>
      <c r="I31" s="1686"/>
      <c r="J31" s="818"/>
      <c r="K31" s="1685" t="str">
        <f>IF(NOT(ISBLANK(Worksheet!M23)),Worksheet!M23,"")</f>
        <v/>
      </c>
      <c r="L31" s="1685"/>
      <c r="M31" s="1685"/>
      <c r="N31" s="1685"/>
      <c r="O31" s="817"/>
      <c r="P31" s="842"/>
      <c r="Q31" s="842"/>
      <c r="R31" s="842"/>
      <c r="S31" s="842"/>
      <c r="T31" s="842"/>
      <c r="U31" s="806"/>
    </row>
    <row r="32" spans="2:21" ht="15.95" customHeight="1">
      <c r="B32" s="807"/>
      <c r="C32" s="819"/>
      <c r="D32" s="819"/>
      <c r="E32" s="819"/>
      <c r="F32" s="819"/>
      <c r="G32" s="819"/>
      <c r="H32" s="819"/>
      <c r="I32" s="819"/>
      <c r="J32" s="819"/>
      <c r="K32" s="819"/>
      <c r="L32" s="819"/>
      <c r="M32" s="819"/>
      <c r="N32" s="819"/>
      <c r="O32" s="820"/>
      <c r="P32" s="820"/>
      <c r="Q32" s="820"/>
      <c r="R32" s="820"/>
      <c r="S32" s="820"/>
      <c r="T32" s="820"/>
      <c r="U32" s="821"/>
    </row>
    <row r="33" spans="2:21" ht="17.25" customHeight="1">
      <c r="B33" s="803"/>
      <c r="C33" s="1664" t="s">
        <v>591</v>
      </c>
      <c r="D33" s="1665"/>
      <c r="E33" s="1665"/>
      <c r="F33" s="1665"/>
      <c r="G33" s="1665"/>
      <c r="H33" s="1665"/>
      <c r="I33" s="1665"/>
      <c r="J33" s="1665"/>
      <c r="K33" s="1665"/>
      <c r="L33" s="1665"/>
      <c r="M33" s="1665"/>
      <c r="N33" s="1665"/>
      <c r="O33" s="1665"/>
      <c r="P33" s="1665"/>
      <c r="Q33" s="1666" t="str">
        <f>County!D11</f>
        <v>Arizona</v>
      </c>
      <c r="R33" s="1667"/>
      <c r="S33" s="1667"/>
      <c r="T33" s="1667"/>
      <c r="U33" s="803"/>
    </row>
    <row r="34" spans="2:21" ht="13.5">
      <c r="B34" s="803"/>
      <c r="C34" s="1656" t="s">
        <v>590</v>
      </c>
      <c r="D34" s="1656"/>
      <c r="E34" s="1656"/>
      <c r="F34" s="1656"/>
      <c r="G34" s="1656"/>
      <c r="H34" s="1656"/>
      <c r="I34" s="1656"/>
      <c r="J34" s="1656"/>
      <c r="K34" s="1656"/>
      <c r="L34" s="1656"/>
      <c r="M34" s="1656"/>
      <c r="N34" s="1656"/>
      <c r="O34" s="1656"/>
      <c r="P34" s="1656"/>
      <c r="Q34" s="1656"/>
      <c r="R34" s="1656"/>
      <c r="S34" s="1656"/>
      <c r="T34" s="1656"/>
      <c r="U34" s="803"/>
    </row>
    <row r="35" spans="2:21" ht="14.1" customHeight="1">
      <c r="B35" s="803"/>
      <c r="C35" s="1721" t="str">
        <f>IF(D6="X","",IF(D8="x",0,IF(NOT(ISBLANK(Worksheet!R118)),Worksheet!R118,"")))</f>
        <v/>
      </c>
      <c r="D35" s="1721"/>
      <c r="E35" s="1721"/>
      <c r="F35" s="1696"/>
      <c r="G35" s="822" t="s">
        <v>437</v>
      </c>
      <c r="H35" s="837" t="str">
        <f>IF(ISNUMBER(C35),"Month","")</f>
        <v/>
      </c>
      <c r="I35" s="803" t="s">
        <v>443</v>
      </c>
      <c r="J35" s="803"/>
      <c r="K35" s="803"/>
      <c r="L35" s="803"/>
      <c r="M35" s="803"/>
      <c r="N35" s="803"/>
      <c r="O35" s="803"/>
      <c r="P35" s="803"/>
      <c r="Q35" s="803"/>
      <c r="R35" s="803"/>
      <c r="S35" s="803"/>
      <c r="T35" s="803"/>
      <c r="U35" s="803"/>
    </row>
    <row r="36" spans="2:21" ht="14.1" customHeight="1">
      <c r="B36" s="803"/>
      <c r="C36" s="1721" t="str">
        <f>IF(D6="X","",IF(D8="x",0,IF(OR(NOT(ISBLANK(Worksheet!R119)),NOT(ISBLANK(Worksheet!R120))),Worksheet!R119+Worksheet!R120,"")))</f>
        <v/>
      </c>
      <c r="D36" s="1721"/>
      <c r="E36" s="1721"/>
      <c r="F36" s="1696"/>
      <c r="G36" s="822" t="s">
        <v>437</v>
      </c>
      <c r="H36" s="837" t="str">
        <f t="shared" ref="H36:H40" si="0">IF(ISNUMBER(C36),"Month","")</f>
        <v/>
      </c>
      <c r="I36" s="803" t="s">
        <v>592</v>
      </c>
      <c r="J36" s="803"/>
      <c r="K36" s="803"/>
      <c r="L36" s="803"/>
      <c r="M36" s="803"/>
      <c r="N36" s="803"/>
      <c r="O36" s="803"/>
      <c r="P36" s="803"/>
      <c r="Q36" s="805" t="str">
        <f>IF(NOT(ISBLANK(Worksheet!Q247)),Worksheet!Q247,"")</f>
        <v/>
      </c>
      <c r="R36" s="823" t="s">
        <v>535</v>
      </c>
      <c r="S36" s="805" t="str">
        <f>IF(NOT(ISBLANK(Worksheet!T247)),Worksheet!T247,"")</f>
        <v/>
      </c>
      <c r="T36" s="823" t="s">
        <v>536</v>
      </c>
      <c r="U36" s="803"/>
    </row>
    <row r="37" spans="2:21" ht="14.1" customHeight="1">
      <c r="B37" s="803"/>
      <c r="C37" s="1721" t="str">
        <f>IF(D6="X","",IF(D8="x",0,IF(NOT(ISBLANK(Worksheet!H207)),Worksheet!H207,"")))</f>
        <v/>
      </c>
      <c r="D37" s="1721"/>
      <c r="E37" s="1721"/>
      <c r="F37" s="1696"/>
      <c r="G37" s="822" t="s">
        <v>437</v>
      </c>
      <c r="H37" s="837" t="str">
        <f t="shared" si="0"/>
        <v/>
      </c>
      <c r="I37" s="803" t="s">
        <v>444</v>
      </c>
      <c r="J37" s="803"/>
      <c r="K37" s="803"/>
      <c r="L37" s="803"/>
      <c r="M37" s="803"/>
      <c r="N37" s="803"/>
      <c r="O37" s="803"/>
      <c r="P37" s="803"/>
      <c r="Q37" s="803"/>
      <c r="R37" s="803"/>
      <c r="S37" s="803"/>
      <c r="T37" s="803"/>
      <c r="U37" s="803"/>
    </row>
    <row r="38" spans="2:21" ht="14.1" customHeight="1">
      <c r="B38" s="803"/>
      <c r="C38" s="1721" t="str">
        <f>IF(D6="X","",IF(D8="x",0,IF(NOT(ISBLANK(Worksheet!S212)),Worksheet!S212,"")))</f>
        <v/>
      </c>
      <c r="D38" s="1721"/>
      <c r="E38" s="1721"/>
      <c r="F38" s="1696"/>
      <c r="G38" s="822" t="s">
        <v>437</v>
      </c>
      <c r="H38" s="837" t="str">
        <f t="shared" si="0"/>
        <v/>
      </c>
      <c r="I38" s="803" t="s">
        <v>445</v>
      </c>
      <c r="J38" s="803"/>
      <c r="K38" s="803"/>
      <c r="L38" s="803"/>
      <c r="M38" s="803"/>
      <c r="N38" s="803"/>
      <c r="O38" s="803"/>
      <c r="P38" s="803"/>
      <c r="Q38" s="803"/>
      <c r="R38" s="803"/>
      <c r="S38" s="803"/>
      <c r="T38" s="803"/>
      <c r="U38" s="803"/>
    </row>
    <row r="39" spans="2:21" ht="14.1" customHeight="1">
      <c r="B39" s="803"/>
      <c r="C39" s="1721" t="str">
        <f>IF(D6="X","",IF(D8="x",0,IF(NOT(ISBLANK(Worksheet!R122)),Worksheet!R122,"")))</f>
        <v/>
      </c>
      <c r="D39" s="1721"/>
      <c r="E39" s="1721"/>
      <c r="F39" s="1696"/>
      <c r="G39" s="822" t="s">
        <v>437</v>
      </c>
      <c r="H39" s="837" t="str">
        <f t="shared" si="0"/>
        <v/>
      </c>
      <c r="I39" s="803" t="s">
        <v>446</v>
      </c>
      <c r="J39" s="803"/>
      <c r="K39" s="803"/>
      <c r="L39" s="803"/>
      <c r="M39" s="803"/>
      <c r="N39" s="803"/>
      <c r="O39" s="803"/>
      <c r="P39" s="803"/>
      <c r="Q39" s="803"/>
      <c r="R39" s="803"/>
      <c r="S39" s="803"/>
      <c r="T39" s="803"/>
      <c r="U39" s="803"/>
    </row>
    <row r="40" spans="2:21" ht="14.1" customHeight="1">
      <c r="B40" s="803"/>
      <c r="C40" s="1721" t="str">
        <f>IF(D6="X","",IF(D8="x",0,IF(NOT(ISBLANK(Worksheet!R123)),Worksheet!R123,"")))</f>
        <v/>
      </c>
      <c r="D40" s="1721"/>
      <c r="E40" s="1721"/>
      <c r="F40" s="1696"/>
      <c r="G40" s="822" t="s">
        <v>437</v>
      </c>
      <c r="H40" s="837" t="str">
        <f t="shared" si="0"/>
        <v/>
      </c>
      <c r="I40" s="803" t="s">
        <v>447</v>
      </c>
      <c r="J40" s="803"/>
      <c r="K40" s="803"/>
      <c r="L40" s="803"/>
      <c r="M40" s="803"/>
      <c r="N40" s="803"/>
      <c r="O40" s="803"/>
      <c r="P40" s="803"/>
      <c r="Q40" s="803"/>
      <c r="R40" s="803"/>
      <c r="S40" s="803"/>
      <c r="T40" s="803"/>
      <c r="U40" s="803"/>
    </row>
    <row r="41" spans="2:21" ht="14.1" customHeight="1">
      <c r="B41" s="803"/>
      <c r="C41" s="1721">
        <f>IF(D8="x",0,IF(NOT(ISBLANK(County!D34)),County!D34,""))</f>
        <v>5</v>
      </c>
      <c r="D41" s="1721"/>
      <c r="E41" s="1721"/>
      <c r="F41" s="1696"/>
      <c r="G41" s="822" t="s">
        <v>437</v>
      </c>
      <c r="H41" s="837" t="str">
        <f>IF(D6="X","Payment",IF(ISNUMBER(C41),"Month",""))</f>
        <v>Month</v>
      </c>
      <c r="I41" s="1656" t="s">
        <v>507</v>
      </c>
      <c r="J41" s="1656"/>
      <c r="K41" s="1686" t="str">
        <f>IF(NOT(ISBLANK(County!D33)),"  "&amp;County!D33,"")</f>
        <v xml:space="preserve">  Clearinghouse Fee</v>
      </c>
      <c r="L41" s="1686"/>
      <c r="M41" s="1686"/>
      <c r="N41" s="1686"/>
      <c r="O41" s="1686"/>
      <c r="P41" s="1686"/>
      <c r="Q41" s="803"/>
      <c r="R41" s="803"/>
      <c r="S41" s="803"/>
      <c r="T41" s="803"/>
      <c r="U41" s="803"/>
    </row>
    <row r="42" spans="2:21" ht="14.1" customHeight="1">
      <c r="B42" s="803"/>
      <c r="C42" s="1728" t="s">
        <v>508</v>
      </c>
      <c r="D42" s="1728"/>
      <c r="E42" s="1728"/>
      <c r="F42" s="1728"/>
      <c r="G42" s="1728"/>
      <c r="H42" s="1728"/>
      <c r="I42" s="1716">
        <f>IF(D6="X",5,IF(D8="x","$     0.00",IF(NOT(ISBLANK(Worksheet!R127)),Worksheet!R127,"")))</f>
        <v>5</v>
      </c>
      <c r="J42" s="1716"/>
      <c r="K42" s="1712" t="str">
        <f>IF(D6="X","per payment.","per Month.")</f>
        <v>per Month.</v>
      </c>
      <c r="L42" s="1712"/>
      <c r="M42" s="803"/>
      <c r="N42" s="824"/>
      <c r="O42" s="803"/>
      <c r="P42" s="803"/>
      <c r="Q42" s="803"/>
      <c r="R42" s="803"/>
      <c r="S42" s="803"/>
      <c r="T42" s="803"/>
      <c r="U42" s="803"/>
    </row>
    <row r="43" spans="2:21" ht="10.5" customHeight="1">
      <c r="B43" s="803"/>
      <c r="C43" s="803"/>
      <c r="D43" s="803"/>
      <c r="E43" s="803"/>
      <c r="F43" s="803"/>
      <c r="G43" s="803"/>
      <c r="H43" s="803"/>
      <c r="I43" s="803"/>
      <c r="J43" s="803"/>
      <c r="K43" s="803"/>
      <c r="L43" s="803"/>
      <c r="M43" s="803"/>
      <c r="N43" s="803"/>
      <c r="O43" s="803"/>
      <c r="P43" s="803"/>
      <c r="Q43" s="803"/>
      <c r="R43" s="803"/>
      <c r="S43" s="803"/>
      <c r="T43" s="803"/>
      <c r="U43" s="803"/>
    </row>
    <row r="44" spans="2:21" ht="13.5">
      <c r="B44" s="803"/>
      <c r="C44" s="1727" t="s">
        <v>601</v>
      </c>
      <c r="D44" s="1656"/>
      <c r="E44" s="1656"/>
      <c r="F44" s="1656"/>
      <c r="G44" s="1656"/>
      <c r="H44" s="1656"/>
      <c r="I44" s="1656"/>
      <c r="J44" s="1656"/>
      <c r="K44" s="1656"/>
      <c r="L44" s="1656"/>
      <c r="M44" s="1656"/>
      <c r="N44" s="1656"/>
      <c r="O44" s="1656"/>
      <c r="P44" s="1656"/>
      <c r="Q44" s="1656"/>
      <c r="R44" s="1656"/>
      <c r="S44" s="1656"/>
      <c r="T44" s="1656"/>
      <c r="U44" s="803"/>
    </row>
    <row r="45" spans="2:21" ht="14.1" customHeight="1">
      <c r="B45" s="803"/>
      <c r="C45" s="1656" t="s">
        <v>602</v>
      </c>
      <c r="D45" s="1656"/>
      <c r="E45" s="1656"/>
      <c r="F45" s="1656"/>
      <c r="G45" s="1656"/>
      <c r="H45" s="1656"/>
      <c r="I45" s="1656"/>
      <c r="J45" s="1656"/>
      <c r="K45" s="1656"/>
      <c r="L45" s="1656"/>
      <c r="M45" s="1656"/>
      <c r="N45" s="1656"/>
      <c r="O45" s="1656"/>
      <c r="P45" s="1656"/>
      <c r="Q45" s="1656"/>
      <c r="R45" s="1656"/>
      <c r="S45" s="1656"/>
      <c r="T45" s="1656"/>
      <c r="U45" s="803"/>
    </row>
    <row r="46" spans="2:21" ht="14.1" customHeight="1">
      <c r="B46" s="803"/>
      <c r="C46" s="1721">
        <f>IF(D6="X","",IF(D8="x",0,I42/4.345))</f>
        <v>1.1507479861910241</v>
      </c>
      <c r="D46" s="1721"/>
      <c r="E46" s="1721"/>
      <c r="F46" s="1696"/>
      <c r="G46" s="803" t="s">
        <v>439</v>
      </c>
      <c r="H46" s="803"/>
      <c r="I46" s="803"/>
      <c r="J46" s="803"/>
      <c r="K46" s="803"/>
      <c r="L46" s="1721">
        <f>IF(D6="X","",IF(D8="x",0,I42/2))</f>
        <v>2.5</v>
      </c>
      <c r="M46" s="1721"/>
      <c r="N46" s="1724" t="s">
        <v>456</v>
      </c>
      <c r="O46" s="1656"/>
      <c r="P46" s="1656"/>
      <c r="Q46" s="1656"/>
      <c r="R46" s="1656"/>
      <c r="S46" s="1656"/>
      <c r="T46" s="1656"/>
      <c r="U46" s="1656"/>
    </row>
    <row r="47" spans="2:21" ht="14.1" customHeight="1">
      <c r="B47" s="803"/>
      <c r="C47" s="1721">
        <f>IF(D6="X","",IF(D8="x",0,I42/2.173))</f>
        <v>2.300966405890474</v>
      </c>
      <c r="D47" s="1721"/>
      <c r="E47" s="1721"/>
      <c r="F47" s="1696"/>
      <c r="G47" s="803" t="s">
        <v>440</v>
      </c>
      <c r="H47" s="803"/>
      <c r="I47" s="803"/>
      <c r="J47" s="803"/>
      <c r="K47" s="803"/>
      <c r="L47" s="1721">
        <f>IF(D6="X","",IF(D8="x",0,I42))</f>
        <v>5</v>
      </c>
      <c r="M47" s="1721"/>
      <c r="N47" s="1724" t="s">
        <v>457</v>
      </c>
      <c r="O47" s="1656"/>
      <c r="P47" s="1656"/>
      <c r="Q47" s="1656"/>
      <c r="R47" s="1656"/>
      <c r="S47" s="1656"/>
      <c r="T47" s="1656"/>
      <c r="U47" s="1656"/>
    </row>
    <row r="48" spans="2:21" ht="14.1" customHeight="1">
      <c r="B48" s="803"/>
      <c r="C48" s="1721" t="str">
        <f>IF(AND(NOT(ISBLANK(Worksheet!G219)),NOT(ISBLANK(Worksheet!U219))),Worksheet!U219,"")</f>
        <v/>
      </c>
      <c r="D48" s="1721"/>
      <c r="E48" s="1721"/>
      <c r="F48" s="1696"/>
      <c r="G48" s="803" t="s">
        <v>593</v>
      </c>
      <c r="H48" s="803"/>
      <c r="I48" s="803"/>
      <c r="J48" s="803"/>
      <c r="K48" s="803"/>
      <c r="L48" s="803"/>
      <c r="M48" s="803"/>
      <c r="N48" s="803"/>
      <c r="O48" s="803"/>
      <c r="P48" s="803"/>
      <c r="Q48" s="803"/>
      <c r="R48" s="803"/>
      <c r="S48" s="803"/>
      <c r="T48" s="803"/>
      <c r="U48" s="803"/>
    </row>
    <row r="49" spans="2:31" ht="13.5">
      <c r="B49" s="803"/>
      <c r="C49" s="825"/>
      <c r="D49" s="825"/>
      <c r="E49" s="825"/>
      <c r="F49" s="810"/>
      <c r="G49" s="803"/>
      <c r="H49" s="803"/>
      <c r="I49" s="803"/>
      <c r="J49" s="803"/>
      <c r="K49" s="803"/>
      <c r="L49" s="803"/>
      <c r="M49" s="803"/>
      <c r="N49" s="803"/>
      <c r="O49" s="803"/>
      <c r="P49" s="803"/>
      <c r="Q49" s="803"/>
      <c r="R49" s="803"/>
      <c r="S49" s="803"/>
      <c r="T49" s="803"/>
      <c r="U49" s="803"/>
    </row>
    <row r="50" spans="2:31" ht="17.25" customHeight="1">
      <c r="B50" s="803"/>
      <c r="C50" s="1656" t="s">
        <v>580</v>
      </c>
      <c r="D50" s="1656"/>
      <c r="E50" s="1656"/>
      <c r="F50" s="1656"/>
      <c r="G50" s="1656"/>
      <c r="H50" s="1656"/>
      <c r="I50" s="1687"/>
      <c r="J50" s="1687"/>
      <c r="K50" s="1687"/>
      <c r="L50" s="1687"/>
      <c r="M50" s="1687"/>
      <c r="N50" s="1687"/>
      <c r="O50" s="1688" t="s">
        <v>458</v>
      </c>
      <c r="P50" s="1688"/>
      <c r="Q50" s="1688"/>
      <c r="R50" s="1689"/>
      <c r="S50" s="1689"/>
      <c r="T50" s="1689"/>
      <c r="U50" s="1689"/>
    </row>
    <row r="51" spans="2:31" ht="8.25" customHeight="1">
      <c r="B51" s="803"/>
      <c r="C51" s="825"/>
      <c r="D51" s="825"/>
      <c r="E51" s="825"/>
      <c r="F51" s="810"/>
      <c r="G51" s="803"/>
      <c r="H51" s="803"/>
      <c r="I51" s="803"/>
      <c r="J51" s="803"/>
      <c r="K51" s="803"/>
      <c r="L51" s="803"/>
      <c r="M51" s="803"/>
      <c r="N51" s="803"/>
      <c r="O51" s="803"/>
      <c r="P51" s="803"/>
      <c r="Q51" s="803"/>
      <c r="R51" s="803"/>
      <c r="S51" s="803"/>
      <c r="T51" s="803"/>
      <c r="U51" s="803"/>
    </row>
    <row r="52" spans="2:31" ht="13.5">
      <c r="B52" s="803"/>
      <c r="C52" s="1656" t="s">
        <v>469</v>
      </c>
      <c r="D52" s="1656"/>
      <c r="E52" s="1656"/>
      <c r="F52" s="1656"/>
      <c r="G52" s="1656"/>
      <c r="H52" s="1672" t="str">
        <f>$C$18</f>
        <v/>
      </c>
      <c r="I52" s="1672"/>
      <c r="J52" s="1672"/>
      <c r="K52" s="1672"/>
      <c r="L52" s="1672"/>
      <c r="M52" s="1688" t="s">
        <v>471</v>
      </c>
      <c r="N52" s="1688"/>
      <c r="O52" s="1688"/>
      <c r="P52" s="1672" t="str">
        <f>IF(NOT(ISBLANK($I$24)),$I$24,"")</f>
        <v/>
      </c>
      <c r="Q52" s="1672"/>
      <c r="R52" s="1672"/>
      <c r="S52" s="1672"/>
      <c r="T52" s="1672"/>
      <c r="U52" s="1672"/>
    </row>
    <row r="53" spans="2:31" ht="13.5">
      <c r="B53" s="803"/>
      <c r="C53" s="1656" t="s">
        <v>468</v>
      </c>
      <c r="D53" s="1656"/>
      <c r="E53" s="1656"/>
      <c r="F53" s="1656"/>
      <c r="G53" s="1656"/>
      <c r="H53" s="1656"/>
      <c r="I53" s="1672" t="str">
        <f>$M$18</f>
        <v/>
      </c>
      <c r="J53" s="1673"/>
      <c r="K53" s="1673"/>
      <c r="L53" s="1673"/>
      <c r="M53" s="1673"/>
      <c r="N53" s="1673"/>
      <c r="O53" s="838"/>
      <c r="P53" s="839" t="s">
        <v>183</v>
      </c>
      <c r="Q53" s="1674" t="str">
        <f xml:space="preserve"> $M$20</f>
        <v/>
      </c>
      <c r="R53" s="1675"/>
      <c r="S53" s="1675"/>
      <c r="T53" s="1675"/>
      <c r="U53" s="1675"/>
    </row>
    <row r="54" spans="2:31" ht="13.5">
      <c r="B54" s="803"/>
      <c r="C54" s="1656" t="s">
        <v>470</v>
      </c>
      <c r="D54" s="1656"/>
      <c r="E54" s="1656"/>
      <c r="F54" s="1656"/>
      <c r="G54" s="1656"/>
      <c r="H54" s="1656"/>
      <c r="I54" s="1711" t="str">
        <f>IF(NOT(ISBLANK(Worksheet!$I$242)),Worksheet!$I$242,"")</f>
        <v/>
      </c>
      <c r="J54" s="1711"/>
      <c r="K54" s="1711"/>
      <c r="L54" s="1711"/>
      <c r="M54" s="1717" t="s">
        <v>472</v>
      </c>
      <c r="N54" s="1717"/>
      <c r="O54" s="1718"/>
      <c r="P54" s="1672" t="str">
        <f>IF(NOT(ISBLANK(Worksheet!$F$10)),Worksheet!$F$10,"")</f>
        <v/>
      </c>
      <c r="Q54" s="1672"/>
      <c r="R54" s="1672"/>
      <c r="S54" s="1672"/>
      <c r="T54" s="1672"/>
      <c r="U54" s="1672"/>
    </row>
    <row r="55" spans="2:31" ht="14.25" customHeight="1">
      <c r="C55" s="1669" t="s">
        <v>603</v>
      </c>
      <c r="D55" s="1153"/>
      <c r="E55" s="1153"/>
      <c r="F55" s="1153"/>
      <c r="G55" s="1153"/>
      <c r="H55" s="1153"/>
      <c r="I55" s="1153"/>
      <c r="J55" s="1153"/>
      <c r="K55" s="1153"/>
      <c r="L55" s="1153"/>
      <c r="M55" s="1153"/>
      <c r="N55" s="1153"/>
      <c r="O55" s="1153"/>
      <c r="P55" s="916"/>
      <c r="Q55" s="1670" t="str">
        <f>" "&amp;County!D14&amp;""</f>
        <v xml:space="preserve"> Arizona</v>
      </c>
      <c r="R55" s="1671"/>
      <c r="S55" s="1671"/>
      <c r="T55" s="1671"/>
      <c r="U55" s="1671"/>
    </row>
    <row r="56" spans="2:31" ht="63.75" customHeight="1">
      <c r="B56" s="803"/>
      <c r="C56" s="1668" t="str">
        <f>"(State/Tribe), you must begin withholding no later than the first pay period that occurs "&amp;County!D15&amp;" days after the date of "&amp;County!D16&amp;".  Send payment within "&amp;County!D17&amp;" working days of the pay date.  If you cannot withhold the full amount of support for any or all orders for this employee/obligor, withhold up to "&amp;County!D18&amp;" of disposable income.  If the obligor is a non-employee, obtain withholding limits from Supplemental Information on page 3.  If the employee/obligor's principal place of employment is not "&amp;County!D14&amp;" (State/Tribe), obtain withholding limitations, time requirements, and any allowable employer fees at"</f>
        <v>(State/Tribe), you must begin withholding no later than the first pay period that occurs fourteen (14) days after the date of receipt of this Order.  Send payment within two (2) working days of the pay date.  If you cannot withhold the full amount of support for any or all orders for this employee/obligor, withhold up to fifty percent (50%) of disposable income.  If the obligor is a non-employee, obtain withholding limits from Supplemental Information on page 3.  If the employee/obligor's principal place of employment is not Arizona (State/Tribe), obtain withholding limitations, time requirements, and any allowable employer fees at</v>
      </c>
      <c r="D56" s="1623"/>
      <c r="E56" s="1623"/>
      <c r="F56" s="1623"/>
      <c r="G56" s="1623"/>
      <c r="H56" s="1623"/>
      <c r="I56" s="1623"/>
      <c r="J56" s="1623"/>
      <c r="K56" s="1623"/>
      <c r="L56" s="1623"/>
      <c r="M56" s="1623"/>
      <c r="N56" s="1623"/>
      <c r="O56" s="1623"/>
      <c r="P56" s="1623"/>
      <c r="Q56" s="1623"/>
      <c r="R56" s="1623"/>
      <c r="S56" s="1623"/>
      <c r="T56" s="1623"/>
      <c r="U56" s="1623"/>
    </row>
    <row r="57" spans="2:31" ht="12.75" customHeight="1">
      <c r="B57" s="803"/>
      <c r="C57" s="1690" t="s">
        <v>578</v>
      </c>
      <c r="D57" s="1691"/>
      <c r="E57" s="1691"/>
      <c r="F57" s="1691"/>
      <c r="G57" s="1691"/>
      <c r="H57" s="1691"/>
      <c r="I57" s="1691"/>
      <c r="J57" s="1691"/>
      <c r="K57" s="1691"/>
      <c r="L57" s="1691"/>
      <c r="M57" s="1691"/>
      <c r="N57" s="1691"/>
      <c r="O57" s="1691"/>
      <c r="P57" s="1691"/>
      <c r="Q57" s="1691"/>
      <c r="R57" s="1691"/>
      <c r="S57" s="1691"/>
      <c r="T57" s="1691"/>
      <c r="U57" s="1691"/>
    </row>
    <row r="58" spans="2:31" ht="12.75" customHeight="1">
      <c r="B58" s="803"/>
      <c r="C58" s="1691" t="s">
        <v>551</v>
      </c>
      <c r="D58" s="1691"/>
      <c r="E58" s="1691"/>
      <c r="F58" s="1691"/>
      <c r="G58" s="1691"/>
      <c r="H58" s="1691"/>
      <c r="I58" s="1691"/>
      <c r="J58" s="1691"/>
      <c r="K58" s="1691"/>
      <c r="L58" s="1691"/>
      <c r="M58" s="1691"/>
      <c r="N58" s="1691"/>
      <c r="O58" s="1691"/>
      <c r="P58" s="1691"/>
      <c r="Q58" s="1691"/>
      <c r="R58" s="1691"/>
      <c r="S58" s="1691"/>
      <c r="T58" s="1691"/>
      <c r="U58" s="1691"/>
      <c r="W58" s="1446"/>
      <c r="X58" s="1446"/>
      <c r="Y58" s="1446"/>
      <c r="Z58" s="1446"/>
      <c r="AA58" s="1446"/>
      <c r="AB58" s="1446"/>
      <c r="AC58" s="1446"/>
      <c r="AD58" s="1446"/>
      <c r="AE58" s="1446"/>
    </row>
    <row r="59" spans="2:31" ht="8.25" customHeight="1">
      <c r="B59" s="803"/>
      <c r="C59" s="803"/>
      <c r="D59" s="803"/>
      <c r="E59" s="803"/>
      <c r="F59" s="803"/>
      <c r="G59" s="803"/>
      <c r="H59" s="803"/>
      <c r="I59" s="803"/>
      <c r="J59" s="803"/>
      <c r="K59" s="803"/>
      <c r="L59" s="803"/>
      <c r="M59" s="803"/>
      <c r="N59" s="803"/>
      <c r="O59" s="803"/>
      <c r="P59" s="803"/>
      <c r="Q59" s="803"/>
      <c r="R59" s="803"/>
      <c r="S59" s="803"/>
      <c r="T59" s="803"/>
      <c r="U59" s="803"/>
    </row>
    <row r="60" spans="2:31" ht="24.75" customHeight="1">
      <c r="B60" s="803"/>
      <c r="C60" s="1669" t="s">
        <v>604</v>
      </c>
      <c r="D60" s="1669"/>
      <c r="E60" s="1669"/>
      <c r="F60" s="1669"/>
      <c r="G60" s="1669"/>
      <c r="H60" s="1669"/>
      <c r="I60" s="1669"/>
      <c r="J60" s="1669"/>
      <c r="K60" s="1669"/>
      <c r="L60" s="1669"/>
      <c r="M60" s="1669"/>
      <c r="N60" s="1669"/>
      <c r="O60" s="1669"/>
      <c r="P60" s="1669"/>
      <c r="Q60" s="1669"/>
      <c r="R60" s="1669"/>
      <c r="S60" s="1669"/>
      <c r="T60" s="1669"/>
      <c r="U60" s="1669"/>
    </row>
    <row r="61" spans="2:31" ht="19.5" customHeight="1">
      <c r="B61" s="803"/>
      <c r="C61" s="1656" t="s">
        <v>594</v>
      </c>
      <c r="D61" s="1656"/>
      <c r="E61" s="1656"/>
      <c r="F61" s="1656"/>
      <c r="G61" s="1656"/>
      <c r="H61" s="1656"/>
      <c r="I61" s="1656"/>
      <c r="J61" s="1656"/>
      <c r="K61" s="1656"/>
      <c r="L61" s="1656"/>
      <c r="M61" s="1656"/>
      <c r="N61" s="1656"/>
      <c r="O61" s="1661" t="str">
        <f>IF(NOT(ISBLANK(County!D19)),County!D19,"")</f>
        <v>013</v>
      </c>
      <c r="P61" s="1661"/>
      <c r="Q61" s="1661"/>
      <c r="R61" s="1661"/>
      <c r="S61" s="1661"/>
      <c r="T61" s="1661"/>
      <c r="U61" s="803"/>
    </row>
    <row r="62" spans="2:31" ht="18.75" customHeight="1">
      <c r="B62" s="803"/>
      <c r="C62" s="1720" t="s">
        <v>459</v>
      </c>
      <c r="D62" s="1656"/>
      <c r="E62" s="1656"/>
      <c r="F62" s="1656"/>
      <c r="G62" s="1656"/>
      <c r="H62" s="1686" t="str">
        <f>IF(NOT(ISBLANK(County!D20)),"  "&amp;County!D20,"")</f>
        <v xml:space="preserve">  Support Payment Clearinghouse</v>
      </c>
      <c r="I62" s="1686"/>
      <c r="J62" s="1686"/>
      <c r="K62" s="1686"/>
      <c r="L62" s="1686"/>
      <c r="M62" s="1686"/>
      <c r="N62" s="1686"/>
      <c r="O62" s="1686"/>
      <c r="P62" s="1686"/>
      <c r="Q62" s="1704" t="s">
        <v>462</v>
      </c>
      <c r="R62" s="1704"/>
      <c r="S62" s="1704"/>
      <c r="T62" s="1704"/>
      <c r="U62" s="1704"/>
    </row>
    <row r="63" spans="2:31" ht="13.5">
      <c r="B63" s="803"/>
      <c r="C63" s="803" t="s">
        <v>460</v>
      </c>
      <c r="D63" s="1686" t="str">
        <f>IF(NOT(ISBLANK(County!D21)),"  "&amp;County!D21,"")</f>
        <v xml:space="preserve">  P.O. Box 52107, Phoenix, AZ 85072-2107</v>
      </c>
      <c r="E63" s="1686"/>
      <c r="F63" s="1686"/>
      <c r="G63" s="1686"/>
      <c r="H63" s="1686"/>
      <c r="I63" s="1686"/>
      <c r="J63" s="1686"/>
      <c r="K63" s="1686"/>
      <c r="L63" s="1686"/>
      <c r="M63" s="1686"/>
      <c r="N63" s="1686"/>
      <c r="O63" s="1686"/>
      <c r="P63" s="1686"/>
      <c r="Q63" s="1704" t="s">
        <v>461</v>
      </c>
      <c r="R63" s="1704"/>
      <c r="S63" s="1704"/>
      <c r="T63" s="1704"/>
      <c r="U63" s="1704"/>
    </row>
    <row r="64" spans="2:31" ht="9" customHeight="1">
      <c r="B64" s="803"/>
      <c r="C64" s="803"/>
      <c r="D64" s="803"/>
      <c r="E64" s="803"/>
      <c r="F64" s="803"/>
      <c r="G64" s="803"/>
      <c r="H64" s="803"/>
      <c r="I64" s="803"/>
      <c r="J64" s="803"/>
      <c r="K64" s="803"/>
      <c r="L64" s="803"/>
      <c r="M64" s="803"/>
      <c r="N64" s="803"/>
      <c r="O64" s="803"/>
      <c r="P64" s="803"/>
      <c r="Q64" s="803"/>
      <c r="R64" s="803"/>
      <c r="S64" s="803"/>
      <c r="T64" s="803"/>
      <c r="U64" s="803"/>
    </row>
    <row r="65" spans="2:21" ht="11.25" customHeight="1">
      <c r="B65" s="803"/>
      <c r="C65" s="826"/>
      <c r="D65" s="1703" t="s">
        <v>595</v>
      </c>
      <c r="E65" s="1656"/>
      <c r="F65" s="1656"/>
      <c r="G65" s="1656"/>
      <c r="H65" s="1656"/>
      <c r="I65" s="1656"/>
      <c r="J65" s="1656"/>
      <c r="K65" s="1656"/>
      <c r="L65" s="1656"/>
      <c r="M65" s="1656"/>
      <c r="N65" s="1656"/>
      <c r="O65" s="1656"/>
      <c r="P65" s="1656"/>
      <c r="Q65" s="1656"/>
      <c r="R65" s="1656"/>
      <c r="S65" s="1656"/>
      <c r="T65" s="1656"/>
      <c r="U65" s="1656"/>
    </row>
    <row r="66" spans="2:21" ht="30" customHeight="1">
      <c r="B66" s="803"/>
      <c r="C66" s="1746" t="s">
        <v>596</v>
      </c>
      <c r="D66" s="1746"/>
      <c r="E66" s="1746"/>
      <c r="F66" s="1746"/>
      <c r="G66" s="1746"/>
      <c r="H66" s="1746"/>
      <c r="I66" s="1746"/>
      <c r="J66" s="1746"/>
      <c r="K66" s="1746"/>
      <c r="L66" s="1746"/>
      <c r="M66" s="1746"/>
      <c r="N66" s="1746"/>
      <c r="O66" s="1746"/>
      <c r="P66" s="1746"/>
      <c r="Q66" s="1746"/>
      <c r="R66" s="1746"/>
      <c r="S66" s="1746"/>
      <c r="T66" s="1746"/>
      <c r="U66" s="1746"/>
    </row>
    <row r="67" spans="2:21" ht="21.75" customHeight="1" thickBot="1">
      <c r="B67" s="812"/>
      <c r="C67" s="1712" t="s">
        <v>463</v>
      </c>
      <c r="D67" s="1712"/>
      <c r="E67" s="1712"/>
      <c r="F67" s="1712"/>
      <c r="G67" s="1712"/>
      <c r="H67" s="1712"/>
      <c r="I67" s="1712"/>
      <c r="J67" s="1712"/>
      <c r="K67" s="1712"/>
      <c r="L67" s="1712"/>
      <c r="M67" s="1747"/>
      <c r="N67" s="1747"/>
      <c r="O67" s="1747"/>
      <c r="P67" s="1747"/>
      <c r="Q67" s="1747"/>
      <c r="R67" s="1747"/>
      <c r="S67" s="1747"/>
      <c r="T67" s="1747"/>
      <c r="U67" s="827"/>
    </row>
    <row r="68" spans="2:21" ht="13.5">
      <c r="B68" s="815"/>
      <c r="C68" s="1704" t="s">
        <v>464</v>
      </c>
      <c r="D68" s="1704"/>
      <c r="E68" s="1704"/>
      <c r="F68" s="1704"/>
      <c r="G68" s="1704"/>
      <c r="H68" s="1704"/>
      <c r="I68" s="1686" t="str">
        <f>IF(NOT(ISBLANK(Worksheet!J249)),Worksheet!J249,"")</f>
        <v/>
      </c>
      <c r="J68" s="1686"/>
      <c r="K68" s="1686"/>
      <c r="L68" s="1686"/>
      <c r="M68" s="1686"/>
      <c r="N68" s="1686"/>
      <c r="O68" s="1686"/>
      <c r="P68" s="1686"/>
      <c r="Q68" s="1686"/>
      <c r="R68" s="1686"/>
      <c r="S68" s="1686"/>
      <c r="T68" s="1686"/>
      <c r="U68" s="806"/>
    </row>
    <row r="69" spans="2:21" ht="13.5">
      <c r="B69" s="815"/>
      <c r="C69" s="1704" t="s">
        <v>465</v>
      </c>
      <c r="D69" s="1704"/>
      <c r="E69" s="1704"/>
      <c r="F69" s="1704"/>
      <c r="G69" s="1704"/>
      <c r="H69" s="1704"/>
      <c r="I69" s="1686" t="str">
        <f>IF(NOT(ISBLANK(Worksheet!J250)),Worksheet!J250,"")</f>
        <v/>
      </c>
      <c r="J69" s="1686"/>
      <c r="K69" s="1686"/>
      <c r="L69" s="1686"/>
      <c r="M69" s="1686"/>
      <c r="N69" s="1686"/>
      <c r="O69" s="1686"/>
      <c r="P69" s="1686"/>
      <c r="Q69" s="1686"/>
      <c r="R69" s="1686"/>
      <c r="S69" s="1686"/>
      <c r="T69" s="1686"/>
      <c r="U69" s="806"/>
    </row>
    <row r="70" spans="2:21" ht="13.5">
      <c r="B70" s="815"/>
      <c r="C70" s="817" t="s">
        <v>466</v>
      </c>
      <c r="D70" s="817"/>
      <c r="E70" s="817"/>
      <c r="F70" s="817"/>
      <c r="G70" s="817"/>
      <c r="H70" s="1685">
        <f ca="1">IF(NOT(ISBLANK(Worksheet!L32)),Worksheet!L32,"")</f>
        <v>42187</v>
      </c>
      <c r="I70" s="1685"/>
      <c r="J70" s="1685"/>
      <c r="K70" s="1685"/>
      <c r="L70" s="1685"/>
      <c r="M70" s="1685"/>
      <c r="N70" s="1685"/>
      <c r="O70" s="1685"/>
      <c r="P70" s="1685"/>
      <c r="Q70" s="1685"/>
      <c r="R70" s="1685"/>
      <c r="S70" s="1685"/>
      <c r="T70" s="1685"/>
      <c r="U70" s="806"/>
    </row>
    <row r="71" spans="2:21" ht="4.5" customHeight="1">
      <c r="B71" s="807"/>
      <c r="C71" s="820"/>
      <c r="D71" s="820"/>
      <c r="E71" s="820"/>
      <c r="F71" s="820"/>
      <c r="G71" s="820"/>
      <c r="H71" s="820"/>
      <c r="I71" s="820"/>
      <c r="J71" s="820"/>
      <c r="K71" s="820"/>
      <c r="L71" s="820"/>
      <c r="M71" s="820"/>
      <c r="N71" s="820"/>
      <c r="O71" s="820"/>
      <c r="P71" s="820"/>
      <c r="Q71" s="820"/>
      <c r="R71" s="820"/>
      <c r="S71" s="820"/>
      <c r="T71" s="820"/>
      <c r="U71" s="821"/>
    </row>
    <row r="72" spans="2:21" ht="31.5" customHeight="1">
      <c r="B72" s="803"/>
      <c r="C72" s="1719" t="s">
        <v>625</v>
      </c>
      <c r="D72" s="1719"/>
      <c r="E72" s="1719"/>
      <c r="F72" s="1719"/>
      <c r="G72" s="1719"/>
      <c r="H72" s="1719"/>
      <c r="I72" s="1719"/>
      <c r="J72" s="1719"/>
      <c r="K72" s="1719"/>
      <c r="L72" s="1719"/>
      <c r="M72" s="1719"/>
      <c r="N72" s="1719"/>
      <c r="O72" s="1719"/>
      <c r="P72" s="1719"/>
      <c r="Q72" s="1719"/>
      <c r="R72" s="1719"/>
      <c r="S72" s="1719"/>
      <c r="T72" s="1719"/>
      <c r="U72" s="1719"/>
    </row>
    <row r="73" spans="2:21" ht="12.75" customHeight="1">
      <c r="B73" s="803"/>
      <c r="C73" s="828" t="str">
        <f>IF(NOT(ISBLANK(Worksheet!M236)),"X","")</f>
        <v/>
      </c>
      <c r="D73" s="1692" t="s">
        <v>575</v>
      </c>
      <c r="E73" s="1691"/>
      <c r="F73" s="1691"/>
      <c r="G73" s="1691"/>
      <c r="H73" s="1691"/>
      <c r="I73" s="1691"/>
      <c r="J73" s="1691"/>
      <c r="K73" s="1691"/>
      <c r="L73" s="1691"/>
      <c r="M73" s="1691"/>
      <c r="N73" s="1691"/>
      <c r="O73" s="1691"/>
      <c r="P73" s="1691"/>
      <c r="Q73" s="1691"/>
      <c r="R73" s="1691"/>
      <c r="S73" s="1691"/>
      <c r="T73" s="1691"/>
      <c r="U73" s="1691"/>
    </row>
    <row r="74" spans="2:21" ht="20.25" customHeight="1">
      <c r="B74" s="1708" t="s">
        <v>467</v>
      </c>
      <c r="C74" s="1708"/>
      <c r="D74" s="1708"/>
      <c r="E74" s="1708"/>
      <c r="F74" s="1708"/>
      <c r="G74" s="1708"/>
      <c r="H74" s="1708"/>
      <c r="I74" s="1708"/>
      <c r="J74" s="1708"/>
      <c r="K74" s="1708"/>
      <c r="L74" s="1708"/>
      <c r="M74" s="1708"/>
      <c r="N74" s="1708"/>
      <c r="O74" s="1708"/>
      <c r="P74" s="1708"/>
      <c r="Q74" s="1708"/>
      <c r="R74" s="1708"/>
      <c r="S74" s="1708"/>
      <c r="T74" s="1708"/>
      <c r="U74" s="1708"/>
    </row>
    <row r="75" spans="2:21" ht="24" customHeight="1">
      <c r="B75" s="803"/>
      <c r="C75" s="1709" t="s">
        <v>597</v>
      </c>
      <c r="D75" s="1709"/>
      <c r="E75" s="1709"/>
      <c r="F75" s="1709"/>
      <c r="G75" s="1709"/>
      <c r="H75" s="1709"/>
      <c r="I75" s="1709"/>
      <c r="J75" s="1709"/>
      <c r="K75" s="1709"/>
      <c r="L75" s="1709"/>
      <c r="M75" s="1709"/>
      <c r="N75" s="1709"/>
      <c r="O75" s="1709"/>
      <c r="P75" s="1709"/>
      <c r="Q75" s="1709"/>
      <c r="R75" s="1709"/>
      <c r="S75" s="1709"/>
      <c r="T75" s="1709"/>
      <c r="U75" s="1709"/>
    </row>
    <row r="76" spans="2:21" ht="33.75" customHeight="1">
      <c r="B76" s="803"/>
      <c r="C76" s="1705" t="s">
        <v>598</v>
      </c>
      <c r="D76" s="1705"/>
      <c r="E76" s="1705"/>
      <c r="F76" s="1705"/>
      <c r="G76" s="1705"/>
      <c r="H76" s="1705"/>
      <c r="I76" s="1705"/>
      <c r="J76" s="1705"/>
      <c r="K76" s="1705"/>
      <c r="L76" s="1705"/>
      <c r="M76" s="1705"/>
      <c r="N76" s="1705"/>
      <c r="O76" s="1705"/>
      <c r="P76" s="1705"/>
      <c r="Q76" s="1705"/>
      <c r="R76" s="1705"/>
      <c r="S76" s="1705"/>
      <c r="T76" s="1705"/>
      <c r="U76" s="1705"/>
    </row>
    <row r="77" spans="2:21" ht="45.75" customHeight="1">
      <c r="B77" s="803"/>
      <c r="C77" s="1705" t="s">
        <v>605</v>
      </c>
      <c r="D77" s="1705"/>
      <c r="E77" s="1705"/>
      <c r="F77" s="1705"/>
      <c r="G77" s="1705"/>
      <c r="H77" s="1705"/>
      <c r="I77" s="1705"/>
      <c r="J77" s="1705"/>
      <c r="K77" s="1705"/>
      <c r="L77" s="1705"/>
      <c r="M77" s="1705"/>
      <c r="N77" s="1705"/>
      <c r="O77" s="1705"/>
      <c r="P77" s="1705"/>
      <c r="Q77" s="1705"/>
      <c r="R77" s="1705"/>
      <c r="S77" s="1705"/>
      <c r="T77" s="1705"/>
      <c r="U77" s="1705"/>
    </row>
    <row r="78" spans="2:21" ht="72" customHeight="1">
      <c r="B78" s="803"/>
      <c r="C78" s="1705" t="s">
        <v>606</v>
      </c>
      <c r="D78" s="1705"/>
      <c r="E78" s="1705"/>
      <c r="F78" s="1705"/>
      <c r="G78" s="1705"/>
      <c r="H78" s="1705"/>
      <c r="I78" s="1705"/>
      <c r="J78" s="1705"/>
      <c r="K78" s="1705"/>
      <c r="L78" s="1705"/>
      <c r="M78" s="1705"/>
      <c r="N78" s="1705"/>
      <c r="O78" s="1705"/>
      <c r="P78" s="1705"/>
      <c r="Q78" s="1705"/>
      <c r="R78" s="1705"/>
      <c r="S78" s="1705"/>
      <c r="T78" s="1705"/>
      <c r="U78" s="1705"/>
    </row>
    <row r="79" spans="2:21" ht="57" customHeight="1">
      <c r="B79" s="803"/>
      <c r="C79" s="1706" t="s">
        <v>607</v>
      </c>
      <c r="D79" s="1748"/>
      <c r="E79" s="1748"/>
      <c r="F79" s="1748"/>
      <c r="G79" s="1748"/>
      <c r="H79" s="1748"/>
      <c r="I79" s="1748"/>
      <c r="J79" s="1748"/>
      <c r="K79" s="1748"/>
      <c r="L79" s="1748"/>
      <c r="M79" s="1748"/>
      <c r="N79" s="1748"/>
      <c r="O79" s="1748"/>
      <c r="P79" s="1748"/>
      <c r="Q79" s="1748"/>
      <c r="R79" s="1748"/>
      <c r="S79" s="1748"/>
      <c r="T79" s="1748"/>
      <c r="U79" s="1748"/>
    </row>
    <row r="80" spans="2:21" ht="57" customHeight="1">
      <c r="B80" s="803"/>
      <c r="C80" s="1705" t="s">
        <v>626</v>
      </c>
      <c r="D80" s="1705"/>
      <c r="E80" s="1705"/>
      <c r="F80" s="1705"/>
      <c r="G80" s="1705"/>
      <c r="H80" s="1705"/>
      <c r="I80" s="1705"/>
      <c r="J80" s="1705"/>
      <c r="K80" s="1705"/>
      <c r="L80" s="1705"/>
      <c r="M80" s="1705"/>
      <c r="N80" s="1705"/>
      <c r="O80" s="1705"/>
      <c r="P80" s="1705"/>
      <c r="Q80" s="1705"/>
      <c r="R80" s="1705"/>
      <c r="S80" s="1705"/>
      <c r="T80" s="1705"/>
      <c r="U80" s="1705"/>
    </row>
    <row r="81" spans="2:21" ht="24" customHeight="1">
      <c r="B81" s="803"/>
      <c r="C81" s="1706" t="s">
        <v>579</v>
      </c>
      <c r="D81" s="1710"/>
      <c r="E81" s="1710"/>
      <c r="F81" s="1710"/>
      <c r="G81" s="1710"/>
      <c r="H81" s="1710"/>
      <c r="I81" s="1710"/>
      <c r="J81" s="1710"/>
      <c r="K81" s="1710"/>
      <c r="L81" s="1710"/>
      <c r="M81" s="1710"/>
      <c r="N81" s="1710"/>
      <c r="O81" s="1710"/>
      <c r="P81" s="1710"/>
      <c r="Q81" s="1710"/>
      <c r="R81" s="1710"/>
      <c r="S81" s="1710"/>
      <c r="T81" s="1710"/>
      <c r="U81" s="1710"/>
    </row>
    <row r="82" spans="2:21" ht="12.75" customHeight="1">
      <c r="B82" s="803"/>
      <c r="C82" s="1656" t="s">
        <v>469</v>
      </c>
      <c r="D82" s="1656"/>
      <c r="E82" s="1656"/>
      <c r="F82" s="1656"/>
      <c r="G82" s="1656"/>
      <c r="H82" s="1672" t="str">
        <f>$C$18</f>
        <v/>
      </c>
      <c r="I82" s="1672"/>
      <c r="J82" s="1672"/>
      <c r="K82" s="1672"/>
      <c r="L82" s="1672"/>
      <c r="M82" s="1688" t="s">
        <v>471</v>
      </c>
      <c r="N82" s="1688"/>
      <c r="O82" s="1688"/>
      <c r="P82" s="1672" t="str">
        <f>IF(NOT(ISBLANK($I$24)),$I$24,"")</f>
        <v/>
      </c>
      <c r="Q82" s="1672"/>
      <c r="R82" s="1672"/>
      <c r="S82" s="1672"/>
      <c r="T82" s="1672"/>
      <c r="U82" s="1672"/>
    </row>
    <row r="83" spans="2:21" ht="12.75" customHeight="1">
      <c r="B83" s="803"/>
      <c r="C83" s="1656" t="s">
        <v>468</v>
      </c>
      <c r="D83" s="1656"/>
      <c r="E83" s="1656"/>
      <c r="F83" s="1656"/>
      <c r="G83" s="1656"/>
      <c r="H83" s="1656"/>
      <c r="I83" s="1672" t="str">
        <f>$M$18</f>
        <v/>
      </c>
      <c r="J83" s="1673"/>
      <c r="K83" s="1673"/>
      <c r="L83" s="1673"/>
      <c r="M83" s="1673"/>
      <c r="N83" s="1673"/>
      <c r="O83" s="838"/>
      <c r="P83" s="839" t="s">
        <v>183</v>
      </c>
      <c r="Q83" s="1674" t="str">
        <f xml:space="preserve"> $M$20</f>
        <v/>
      </c>
      <c r="R83" s="1675"/>
      <c r="S83" s="1675"/>
      <c r="T83" s="1675"/>
      <c r="U83" s="1675"/>
    </row>
    <row r="84" spans="2:21" ht="12.75" customHeight="1">
      <c r="B84" s="803"/>
      <c r="C84" s="1656" t="s">
        <v>470</v>
      </c>
      <c r="D84" s="1656"/>
      <c r="E84" s="1656"/>
      <c r="F84" s="1656"/>
      <c r="G84" s="1656"/>
      <c r="H84" s="1656"/>
      <c r="I84" s="1711" t="str">
        <f>IF(NOT(ISBLANK(Worksheet!$I$242)),Worksheet!$I$242,"")</f>
        <v/>
      </c>
      <c r="J84" s="1711"/>
      <c r="K84" s="1711"/>
      <c r="L84" s="1711"/>
      <c r="M84" s="1717" t="s">
        <v>472</v>
      </c>
      <c r="N84" s="1717"/>
      <c r="O84" s="1718"/>
      <c r="P84" s="1672" t="str">
        <f>IF(NOT(ISBLANK(Worksheet!$F$10)),Worksheet!$F$10,"")</f>
        <v/>
      </c>
      <c r="Q84" s="1750"/>
      <c r="R84" s="1750"/>
      <c r="S84" s="1750"/>
      <c r="T84" s="1750"/>
      <c r="U84" s="1750"/>
    </row>
    <row r="85" spans="2:21" ht="46.5" customHeight="1">
      <c r="B85" s="803"/>
      <c r="C85" s="1705" t="s">
        <v>608</v>
      </c>
      <c r="D85" s="1705"/>
      <c r="E85" s="1705"/>
      <c r="F85" s="1705"/>
      <c r="G85" s="1705"/>
      <c r="H85" s="1705"/>
      <c r="I85" s="1705"/>
      <c r="J85" s="1705"/>
      <c r="K85" s="1705"/>
      <c r="L85" s="1705"/>
      <c r="M85" s="1705"/>
      <c r="N85" s="1705"/>
      <c r="O85" s="1705"/>
      <c r="P85" s="1705"/>
      <c r="Q85" s="1705"/>
      <c r="R85" s="1705"/>
      <c r="S85" s="1705"/>
      <c r="T85" s="1705"/>
      <c r="U85" s="1705"/>
    </row>
    <row r="86" spans="2:21" ht="43.5" customHeight="1">
      <c r="B86" s="803"/>
      <c r="C86" s="1707" t="s">
        <v>609</v>
      </c>
      <c r="D86" s="1707"/>
      <c r="E86" s="1707"/>
      <c r="F86" s="1707"/>
      <c r="G86" s="1707"/>
      <c r="H86" s="1707"/>
      <c r="I86" s="1707"/>
      <c r="J86" s="1707"/>
      <c r="K86" s="1707"/>
      <c r="L86" s="1707"/>
      <c r="M86" s="1707"/>
      <c r="N86" s="1707"/>
      <c r="O86" s="1707"/>
      <c r="P86" s="1707"/>
      <c r="Q86" s="1707"/>
      <c r="R86" s="1707"/>
      <c r="S86" s="1707"/>
      <c r="T86" s="1707"/>
      <c r="U86" s="1707"/>
    </row>
    <row r="87" spans="2:21" ht="30" customHeight="1">
      <c r="B87" s="803"/>
      <c r="C87" s="1693" t="str">
        <f>IF(NOT(ISBLANK(Worksheet!I252)),Worksheet!I252,"_____________________________________________________________________________________________________ _____________________________________________________________________________________________________")</f>
        <v>_____________________________________________________________________________________________________ _____________________________________________________________________________________________________</v>
      </c>
      <c r="D87" s="1693"/>
      <c r="E87" s="1693"/>
      <c r="F87" s="1693"/>
      <c r="G87" s="1693"/>
      <c r="H87" s="1693"/>
      <c r="I87" s="1693"/>
      <c r="J87" s="1693"/>
      <c r="K87" s="1693"/>
      <c r="L87" s="1693"/>
      <c r="M87" s="1693"/>
      <c r="N87" s="1693"/>
      <c r="O87" s="1693"/>
      <c r="P87" s="1693"/>
      <c r="Q87" s="1693"/>
      <c r="R87" s="1693"/>
      <c r="S87" s="1693"/>
      <c r="T87" s="1693"/>
      <c r="U87" s="1693"/>
    </row>
    <row r="88" spans="2:21" ht="9" customHeight="1">
      <c r="B88" s="803"/>
      <c r="C88" s="1714"/>
      <c r="D88" s="1715"/>
      <c r="E88" s="1715"/>
      <c r="F88" s="1715"/>
      <c r="G88" s="1715"/>
      <c r="H88" s="1715"/>
      <c r="I88" s="1715"/>
      <c r="J88" s="1715"/>
      <c r="K88" s="1715"/>
      <c r="L88" s="1715"/>
      <c r="M88" s="1715"/>
      <c r="N88" s="1715"/>
      <c r="O88" s="1715"/>
      <c r="P88" s="1715"/>
      <c r="Q88" s="1715"/>
      <c r="R88" s="1715"/>
      <c r="S88" s="1715"/>
      <c r="T88" s="1715"/>
      <c r="U88" s="829"/>
    </row>
    <row r="89" spans="2:21" ht="12.75" customHeight="1">
      <c r="B89" s="803"/>
      <c r="C89" s="1714"/>
      <c r="D89" s="1715"/>
      <c r="E89" s="1715"/>
      <c r="F89" s="1715"/>
      <c r="G89" s="1715"/>
      <c r="H89" s="1715"/>
      <c r="I89" s="1715"/>
      <c r="J89" s="1715"/>
      <c r="K89" s="1715"/>
      <c r="L89" s="1715"/>
      <c r="M89" s="1715"/>
      <c r="N89" s="1715"/>
      <c r="O89" s="1715"/>
      <c r="P89" s="1715"/>
      <c r="Q89" s="1715"/>
      <c r="R89" s="1715"/>
      <c r="S89" s="1715"/>
      <c r="T89" s="1715"/>
      <c r="U89" s="829"/>
    </row>
    <row r="90" spans="2:21" ht="12.75" customHeight="1">
      <c r="B90" s="803"/>
      <c r="C90" s="1714"/>
      <c r="D90" s="1715"/>
      <c r="E90" s="1715"/>
      <c r="F90" s="1715"/>
      <c r="G90" s="1715"/>
      <c r="H90" s="1715"/>
      <c r="I90" s="1715"/>
      <c r="J90" s="1715"/>
      <c r="K90" s="1715"/>
      <c r="L90" s="1715"/>
      <c r="M90" s="1715"/>
      <c r="N90" s="1715"/>
      <c r="O90" s="1715"/>
      <c r="P90" s="1715"/>
      <c r="Q90" s="1715"/>
      <c r="R90" s="1715"/>
      <c r="S90" s="1715"/>
      <c r="T90" s="1715"/>
      <c r="U90" s="829"/>
    </row>
    <row r="91" spans="2:21" ht="32.25" customHeight="1">
      <c r="B91" s="803"/>
      <c r="C91" s="1707" t="s">
        <v>610</v>
      </c>
      <c r="D91" s="1707"/>
      <c r="E91" s="1707"/>
      <c r="F91" s="1707"/>
      <c r="G91" s="1707"/>
      <c r="H91" s="1707"/>
      <c r="I91" s="1707"/>
      <c r="J91" s="1707"/>
      <c r="K91" s="1707"/>
      <c r="L91" s="1707"/>
      <c r="M91" s="1707"/>
      <c r="N91" s="1707"/>
      <c r="O91" s="1707"/>
      <c r="P91" s="1707"/>
      <c r="Q91" s="1707"/>
      <c r="R91" s="1707"/>
      <c r="S91" s="1707"/>
      <c r="T91" s="1707"/>
      <c r="U91" s="1707"/>
    </row>
    <row r="92" spans="2:21" ht="30.75" customHeight="1">
      <c r="B92" s="803"/>
      <c r="C92" s="1693" t="str">
        <f>IF(NOT(ISBLANK(Worksheet!I254)),Worksheet!I254,"_____________________________________________________________________________________________________________________________________________________________________________________________________________")</f>
        <v>_____________________________________________________________________________________________________________________________________________________________________________________________________________</v>
      </c>
      <c r="D92" s="1693"/>
      <c r="E92" s="1693"/>
      <c r="F92" s="1693"/>
      <c r="G92" s="1693"/>
      <c r="H92" s="1693"/>
      <c r="I92" s="1693"/>
      <c r="J92" s="1693"/>
      <c r="K92" s="1693"/>
      <c r="L92" s="1693"/>
      <c r="M92" s="1693"/>
      <c r="N92" s="1693"/>
      <c r="O92" s="1693"/>
      <c r="P92" s="1693"/>
      <c r="Q92" s="1693"/>
      <c r="R92" s="1693"/>
      <c r="S92" s="1693"/>
      <c r="T92" s="1693"/>
      <c r="U92" s="1693"/>
    </row>
    <row r="93" spans="2:21" ht="6" customHeight="1">
      <c r="B93" s="803"/>
      <c r="C93" s="1714"/>
      <c r="D93" s="1715"/>
      <c r="E93" s="1715"/>
      <c r="F93" s="1715"/>
      <c r="G93" s="1715"/>
      <c r="H93" s="1715"/>
      <c r="I93" s="1715"/>
      <c r="J93" s="1715"/>
      <c r="K93" s="1715"/>
      <c r="L93" s="1715"/>
      <c r="M93" s="1715"/>
      <c r="N93" s="1715"/>
      <c r="O93" s="1715"/>
      <c r="P93" s="1715"/>
      <c r="Q93" s="1715"/>
      <c r="R93" s="1715"/>
      <c r="S93" s="1715"/>
      <c r="T93" s="1715"/>
      <c r="U93" s="830"/>
    </row>
    <row r="94" spans="2:21" ht="12.75" customHeight="1">
      <c r="B94" s="803"/>
      <c r="C94" s="1714"/>
      <c r="D94" s="1715"/>
      <c r="E94" s="1715"/>
      <c r="F94" s="1715"/>
      <c r="G94" s="1715"/>
      <c r="H94" s="1715"/>
      <c r="I94" s="1715"/>
      <c r="J94" s="1715"/>
      <c r="K94" s="1715"/>
      <c r="L94" s="1715"/>
      <c r="M94" s="1715"/>
      <c r="N94" s="1715"/>
      <c r="O94" s="1715"/>
      <c r="P94" s="1715"/>
      <c r="Q94" s="1715"/>
      <c r="R94" s="1715"/>
      <c r="S94" s="1715"/>
      <c r="T94" s="1715"/>
      <c r="U94" s="830"/>
    </row>
    <row r="95" spans="2:21" ht="12.75" customHeight="1">
      <c r="B95" s="803"/>
      <c r="C95" s="1714"/>
      <c r="D95" s="1715"/>
      <c r="E95" s="1715"/>
      <c r="F95" s="1715"/>
      <c r="G95" s="1715"/>
      <c r="H95" s="1715"/>
      <c r="I95" s="1715"/>
      <c r="J95" s="1715"/>
      <c r="K95" s="1715"/>
      <c r="L95" s="1715"/>
      <c r="M95" s="1715"/>
      <c r="N95" s="1715"/>
      <c r="O95" s="1715"/>
      <c r="P95" s="1715"/>
      <c r="Q95" s="1715"/>
      <c r="R95" s="1715"/>
      <c r="S95" s="1715"/>
      <c r="T95" s="1715"/>
      <c r="U95" s="830"/>
    </row>
    <row r="96" spans="2:21" ht="126.75" customHeight="1">
      <c r="B96" s="803"/>
      <c r="C96" s="1705" t="s">
        <v>611</v>
      </c>
      <c r="D96" s="1705"/>
      <c r="E96" s="1705"/>
      <c r="F96" s="1705"/>
      <c r="G96" s="1705"/>
      <c r="H96" s="1705"/>
      <c r="I96" s="1705"/>
      <c r="J96" s="1705"/>
      <c r="K96" s="1705"/>
      <c r="L96" s="1705"/>
      <c r="M96" s="1705"/>
      <c r="N96" s="1705"/>
      <c r="O96" s="1705"/>
      <c r="P96" s="1705"/>
      <c r="Q96" s="1705"/>
      <c r="R96" s="1705"/>
      <c r="S96" s="1705"/>
      <c r="T96" s="1705"/>
      <c r="U96" s="1705"/>
    </row>
    <row r="97" spans="2:21" ht="35.1" customHeight="1">
      <c r="B97" s="803"/>
      <c r="C97" s="1706" t="s">
        <v>581</v>
      </c>
      <c r="D97" s="1705"/>
      <c r="E97" s="1705"/>
      <c r="F97" s="1705"/>
      <c r="G97" s="1705"/>
      <c r="H97" s="1705"/>
      <c r="I97" s="1705"/>
      <c r="J97" s="1705"/>
      <c r="K97" s="1705"/>
      <c r="L97" s="1705"/>
      <c r="M97" s="1705"/>
      <c r="N97" s="1705"/>
      <c r="O97" s="1705"/>
      <c r="P97" s="1705"/>
      <c r="Q97" s="1705"/>
      <c r="R97" s="1705"/>
      <c r="S97" s="1705"/>
      <c r="T97" s="1705"/>
      <c r="U97" s="1705"/>
    </row>
    <row r="98" spans="2:21" ht="35.1" customHeight="1">
      <c r="B98" s="803"/>
      <c r="C98" s="1706" t="s">
        <v>582</v>
      </c>
      <c r="D98" s="1705"/>
      <c r="E98" s="1705"/>
      <c r="F98" s="1705"/>
      <c r="G98" s="1705"/>
      <c r="H98" s="1705"/>
      <c r="I98" s="1705"/>
      <c r="J98" s="1705"/>
      <c r="K98" s="1705"/>
      <c r="L98" s="1705"/>
      <c r="M98" s="1705"/>
      <c r="N98" s="1705"/>
      <c r="O98" s="1705"/>
      <c r="P98" s="1705"/>
      <c r="Q98" s="1705"/>
      <c r="R98" s="1705"/>
      <c r="S98" s="1705"/>
      <c r="T98" s="1705"/>
      <c r="U98" s="1705"/>
    </row>
    <row r="99" spans="2:21" ht="30" customHeight="1">
      <c r="B99" s="803"/>
      <c r="C99" s="1705" t="s">
        <v>599</v>
      </c>
      <c r="D99" s="1705"/>
      <c r="E99" s="1705"/>
      <c r="F99" s="1705"/>
      <c r="G99" s="1705"/>
      <c r="H99" s="1705"/>
      <c r="I99" s="1705"/>
      <c r="J99" s="1705"/>
      <c r="K99" s="1705"/>
      <c r="L99" s="1705"/>
      <c r="M99" s="1705"/>
      <c r="N99" s="1705"/>
      <c r="O99" s="1705"/>
      <c r="P99" s="1705"/>
      <c r="Q99" s="1705"/>
      <c r="R99" s="1705"/>
      <c r="S99" s="1705"/>
      <c r="T99" s="1705"/>
      <c r="U99" s="1705"/>
    </row>
    <row r="100" spans="2:21" ht="20.25" customHeight="1">
      <c r="B100" s="803"/>
      <c r="C100" s="1705" t="s">
        <v>583</v>
      </c>
      <c r="D100" s="1710"/>
      <c r="E100" s="1710"/>
      <c r="F100" s="1710"/>
      <c r="G100" s="1710"/>
      <c r="H100" s="1710"/>
      <c r="I100" s="1710"/>
      <c r="J100" s="1710"/>
      <c r="K100" s="1710"/>
      <c r="L100" s="1710"/>
      <c r="M100" s="1710"/>
      <c r="N100" s="1710"/>
      <c r="O100" s="1710"/>
      <c r="P100" s="1710"/>
      <c r="Q100" s="1710"/>
      <c r="R100" s="1710"/>
      <c r="S100" s="1710"/>
      <c r="T100" s="1710"/>
      <c r="U100" s="1710"/>
    </row>
    <row r="101" spans="2:21" ht="30" customHeight="1">
      <c r="B101" s="803"/>
      <c r="C101" s="1700" t="str">
        <f>IF(NOT(ISBLANK(Worksheet!I256)),Worksheet!I256,"____________________________________________________________________________________________________________________________________________________________________________________________________________")</f>
        <v>____________________________________________________________________________________________________________________________________________________________________________________________________________</v>
      </c>
      <c r="D101" s="1700"/>
      <c r="E101" s="1700"/>
      <c r="F101" s="1700"/>
      <c r="G101" s="1700"/>
      <c r="H101" s="1700"/>
      <c r="I101" s="1700"/>
      <c r="J101" s="1700"/>
      <c r="K101" s="1700"/>
      <c r="L101" s="1700"/>
      <c r="M101" s="1700"/>
      <c r="N101" s="1700"/>
      <c r="O101" s="1700"/>
      <c r="P101" s="1700"/>
      <c r="Q101" s="1700"/>
      <c r="R101" s="1700"/>
      <c r="S101" s="1700"/>
      <c r="T101" s="1700"/>
      <c r="U101" s="1700"/>
    </row>
    <row r="102" spans="2:21" ht="8.25" customHeight="1">
      <c r="B102" s="803"/>
      <c r="C102" s="1714"/>
      <c r="D102" s="1715"/>
      <c r="E102" s="1715"/>
      <c r="F102" s="1715"/>
      <c r="G102" s="1715"/>
      <c r="H102" s="1715"/>
      <c r="I102" s="1715"/>
      <c r="J102" s="1715"/>
      <c r="K102" s="1715"/>
      <c r="L102" s="1715"/>
      <c r="M102" s="1715"/>
      <c r="N102" s="1715"/>
      <c r="O102" s="1715"/>
      <c r="P102" s="1715"/>
      <c r="Q102" s="1715"/>
      <c r="R102" s="1715"/>
      <c r="S102" s="1715"/>
      <c r="T102" s="1715"/>
      <c r="U102" s="831"/>
    </row>
    <row r="103" spans="2:21" ht="12.75" customHeight="1">
      <c r="B103" s="803"/>
      <c r="C103" s="1714"/>
      <c r="D103" s="1715"/>
      <c r="E103" s="1715"/>
      <c r="F103" s="1715"/>
      <c r="G103" s="1715"/>
      <c r="H103" s="1715"/>
      <c r="I103" s="1715"/>
      <c r="J103" s="1715"/>
      <c r="K103" s="1715"/>
      <c r="L103" s="1715"/>
      <c r="M103" s="1715"/>
      <c r="N103" s="1715"/>
      <c r="O103" s="1715"/>
      <c r="P103" s="1715"/>
      <c r="Q103" s="1715"/>
      <c r="R103" s="1715"/>
      <c r="S103" s="1715"/>
      <c r="T103" s="1715"/>
      <c r="U103" s="831"/>
    </row>
    <row r="104" spans="2:21" ht="12.75" customHeight="1">
      <c r="B104" s="803"/>
      <c r="C104" s="1714"/>
      <c r="D104" s="1715"/>
      <c r="E104" s="1715"/>
      <c r="F104" s="1715"/>
      <c r="G104" s="1715"/>
      <c r="H104" s="1715"/>
      <c r="I104" s="1715"/>
      <c r="J104" s="1715"/>
      <c r="K104" s="1715"/>
      <c r="L104" s="1715"/>
      <c r="M104" s="1715"/>
      <c r="N104" s="1715"/>
      <c r="O104" s="1715"/>
      <c r="P104" s="1715"/>
      <c r="Q104" s="1715"/>
      <c r="R104" s="1715"/>
      <c r="S104" s="1715"/>
      <c r="T104" s="1715"/>
      <c r="U104" s="831"/>
    </row>
    <row r="105" spans="2:21" ht="12.75" customHeight="1">
      <c r="B105" s="803"/>
      <c r="C105" s="1714"/>
      <c r="D105" s="1715"/>
      <c r="E105" s="1715"/>
      <c r="F105" s="1715"/>
      <c r="G105" s="1715"/>
      <c r="H105" s="1715"/>
      <c r="I105" s="1715"/>
      <c r="J105" s="1715"/>
      <c r="K105" s="1715"/>
      <c r="L105" s="1715"/>
      <c r="M105" s="1715"/>
      <c r="N105" s="1715"/>
      <c r="O105" s="1715"/>
      <c r="P105" s="1715"/>
      <c r="Q105" s="1715"/>
      <c r="R105" s="1715"/>
      <c r="S105" s="1715"/>
      <c r="T105" s="1715"/>
      <c r="U105" s="831"/>
    </row>
    <row r="106" spans="2:21" ht="12.75" customHeight="1">
      <c r="B106" s="803"/>
      <c r="C106" s="1714"/>
      <c r="D106" s="1715"/>
      <c r="E106" s="1715"/>
      <c r="F106" s="1715"/>
      <c r="G106" s="1715"/>
      <c r="H106" s="1715"/>
      <c r="I106" s="1715"/>
      <c r="J106" s="1715"/>
      <c r="K106" s="1715"/>
      <c r="L106" s="1715"/>
      <c r="M106" s="1715"/>
      <c r="N106" s="1715"/>
      <c r="O106" s="1715"/>
      <c r="P106" s="1715"/>
      <c r="Q106" s="1715"/>
      <c r="R106" s="1715"/>
      <c r="S106" s="1715"/>
      <c r="T106" s="1715"/>
      <c r="U106" s="831"/>
    </row>
    <row r="107" spans="2:21" ht="12.75" customHeight="1">
      <c r="B107" s="803"/>
      <c r="C107" s="1714"/>
      <c r="D107" s="1715"/>
      <c r="E107" s="1715"/>
      <c r="F107" s="1715"/>
      <c r="G107" s="1715"/>
      <c r="H107" s="1715"/>
      <c r="I107" s="1715"/>
      <c r="J107" s="1715"/>
      <c r="K107" s="1715"/>
      <c r="L107" s="1715"/>
      <c r="M107" s="1715"/>
      <c r="N107" s="1715"/>
      <c r="O107" s="1715"/>
      <c r="P107" s="1715"/>
      <c r="Q107" s="1715"/>
      <c r="R107" s="1715"/>
      <c r="S107" s="1715"/>
      <c r="T107" s="1715"/>
      <c r="U107" s="831"/>
    </row>
    <row r="108" spans="2:21" ht="12.75" customHeight="1">
      <c r="B108" s="803"/>
      <c r="C108" s="1714"/>
      <c r="D108" s="1715"/>
      <c r="E108" s="1715"/>
      <c r="F108" s="1715"/>
      <c r="G108" s="1715"/>
      <c r="H108" s="1715"/>
      <c r="I108" s="1715"/>
      <c r="J108" s="1715"/>
      <c r="K108" s="1715"/>
      <c r="L108" s="1715"/>
      <c r="M108" s="1715"/>
      <c r="N108" s="1715"/>
      <c r="O108" s="1715"/>
      <c r="P108" s="1715"/>
      <c r="Q108" s="1715"/>
      <c r="R108" s="1715"/>
      <c r="S108" s="1715"/>
      <c r="T108" s="1715"/>
      <c r="U108" s="831"/>
    </row>
    <row r="109" spans="2:21" ht="12.75" customHeight="1">
      <c r="B109" s="803"/>
      <c r="C109" s="831"/>
      <c r="D109" s="831"/>
      <c r="E109" s="831"/>
      <c r="F109" s="831"/>
      <c r="G109" s="831"/>
      <c r="H109" s="831"/>
      <c r="I109" s="831"/>
      <c r="J109" s="831"/>
      <c r="K109" s="831"/>
      <c r="L109" s="831"/>
      <c r="M109" s="831"/>
      <c r="N109" s="831"/>
      <c r="O109" s="831"/>
      <c r="P109" s="831"/>
      <c r="Q109" s="831"/>
      <c r="R109" s="831"/>
      <c r="S109" s="831"/>
      <c r="T109" s="831"/>
      <c r="U109" s="831"/>
    </row>
    <row r="110" spans="2:21" ht="12.75" customHeight="1">
      <c r="B110" s="803"/>
      <c r="C110" s="831"/>
      <c r="D110" s="831"/>
      <c r="E110" s="831"/>
      <c r="F110" s="831"/>
      <c r="G110" s="831"/>
      <c r="H110" s="831"/>
      <c r="I110" s="831"/>
      <c r="J110" s="831"/>
      <c r="K110" s="831"/>
      <c r="L110" s="831"/>
      <c r="M110" s="831"/>
      <c r="N110" s="831"/>
      <c r="O110" s="831"/>
      <c r="P110" s="831"/>
      <c r="Q110" s="831"/>
      <c r="R110" s="831"/>
      <c r="S110" s="831"/>
      <c r="T110" s="831"/>
      <c r="U110" s="831"/>
    </row>
    <row r="111" spans="2:21" ht="24.75" customHeight="1">
      <c r="B111" s="803"/>
      <c r="C111" s="1749" t="s">
        <v>584</v>
      </c>
      <c r="D111" s="1691"/>
      <c r="E111" s="1691"/>
      <c r="F111" s="1691"/>
      <c r="G111" s="1691"/>
      <c r="H111" s="1691"/>
      <c r="I111" s="1691"/>
      <c r="J111" s="1691"/>
      <c r="K111" s="1691"/>
      <c r="L111" s="1691"/>
      <c r="M111" s="1691"/>
      <c r="N111" s="1691"/>
      <c r="O111" s="1691"/>
      <c r="P111" s="1691"/>
      <c r="Q111" s="1691"/>
      <c r="R111" s="1691"/>
      <c r="S111" s="1691"/>
      <c r="T111" s="1691"/>
      <c r="U111" s="1691"/>
    </row>
    <row r="112" spans="2:21" ht="12.75" customHeight="1">
      <c r="B112" s="803"/>
      <c r="C112" s="831"/>
      <c r="D112" s="831"/>
      <c r="E112" s="831"/>
      <c r="F112" s="831"/>
      <c r="G112" s="831"/>
      <c r="H112" s="831"/>
      <c r="I112" s="831"/>
      <c r="J112" s="831"/>
      <c r="K112" s="831"/>
      <c r="L112" s="831"/>
      <c r="M112" s="831"/>
      <c r="N112" s="831"/>
      <c r="O112" s="831"/>
      <c r="P112" s="831"/>
      <c r="Q112" s="831"/>
      <c r="R112" s="831"/>
      <c r="S112" s="831"/>
      <c r="T112" s="831"/>
      <c r="U112" s="831"/>
    </row>
    <row r="113" spans="2:21" ht="12.75" customHeight="1">
      <c r="B113" s="803"/>
      <c r="C113" s="1656" t="s">
        <v>469</v>
      </c>
      <c r="D113" s="1656"/>
      <c r="E113" s="1656"/>
      <c r="F113" s="1656"/>
      <c r="G113" s="1656"/>
      <c r="H113" s="1672" t="str">
        <f>$C$18</f>
        <v/>
      </c>
      <c r="I113" s="1672"/>
      <c r="J113" s="1672"/>
      <c r="K113" s="1672"/>
      <c r="L113" s="1672"/>
      <c r="M113" s="1688" t="s">
        <v>471</v>
      </c>
      <c r="N113" s="1688"/>
      <c r="O113" s="1688"/>
      <c r="P113" s="1672" t="str">
        <f>IF(NOT(ISBLANK($I$24)),$I$24,"")</f>
        <v/>
      </c>
      <c r="Q113" s="1672"/>
      <c r="R113" s="1672"/>
      <c r="S113" s="1672"/>
      <c r="T113" s="1672"/>
      <c r="U113" s="1672"/>
    </row>
    <row r="114" spans="2:21" ht="12.75" customHeight="1">
      <c r="B114" s="803"/>
      <c r="C114" s="1656" t="s">
        <v>468</v>
      </c>
      <c r="D114" s="1656"/>
      <c r="E114" s="1656"/>
      <c r="F114" s="1656"/>
      <c r="G114" s="1656"/>
      <c r="H114" s="1656"/>
      <c r="I114" s="1672" t="str">
        <f>$M$18</f>
        <v/>
      </c>
      <c r="J114" s="1673"/>
      <c r="K114" s="1673"/>
      <c r="L114" s="1673"/>
      <c r="M114" s="1673"/>
      <c r="N114" s="1673"/>
      <c r="O114" s="838"/>
      <c r="P114" s="839" t="s">
        <v>183</v>
      </c>
      <c r="Q114" s="1674" t="str">
        <f xml:space="preserve"> $M$20</f>
        <v/>
      </c>
      <c r="R114" s="1675"/>
      <c r="S114" s="1675"/>
      <c r="T114" s="1675"/>
      <c r="U114" s="1675"/>
    </row>
    <row r="115" spans="2:21" ht="12.75" customHeight="1">
      <c r="B115" s="803"/>
      <c r="C115" s="1656" t="s">
        <v>470</v>
      </c>
      <c r="D115" s="1656"/>
      <c r="E115" s="1656"/>
      <c r="F115" s="1656"/>
      <c r="G115" s="1656"/>
      <c r="H115" s="1656"/>
      <c r="I115" s="1711" t="str">
        <f>IF(NOT(ISBLANK(Worksheet!$I$242)),Worksheet!$I$242,"")</f>
        <v/>
      </c>
      <c r="J115" s="1711"/>
      <c r="K115" s="1711"/>
      <c r="L115" s="1711"/>
      <c r="M115" s="1717" t="s">
        <v>472</v>
      </c>
      <c r="N115" s="1717"/>
      <c r="O115" s="1718"/>
      <c r="P115" s="1672" t="str">
        <f>IF(NOT(ISBLANK(Worksheet!$F$10)),Worksheet!$F$10,"")</f>
        <v/>
      </c>
      <c r="Q115" s="1750"/>
      <c r="R115" s="1750"/>
      <c r="S115" s="1750"/>
      <c r="T115" s="1750"/>
      <c r="U115" s="1750"/>
    </row>
    <row r="116" spans="2:21" ht="12.75" customHeight="1">
      <c r="B116" s="803"/>
      <c r="C116" s="831"/>
      <c r="D116" s="831"/>
      <c r="E116" s="831"/>
      <c r="F116" s="831"/>
      <c r="G116" s="831"/>
      <c r="H116" s="831"/>
      <c r="I116" s="831"/>
      <c r="J116" s="831"/>
      <c r="K116" s="831"/>
      <c r="L116" s="831"/>
      <c r="M116" s="831"/>
      <c r="N116" s="831"/>
      <c r="O116" s="831"/>
      <c r="P116" s="831"/>
      <c r="Q116" s="831"/>
      <c r="R116" s="831"/>
      <c r="S116" s="831"/>
      <c r="T116" s="831"/>
      <c r="U116" s="831"/>
    </row>
    <row r="117" spans="2:21" ht="46.5" customHeight="1">
      <c r="B117" s="812"/>
      <c r="C117" s="1701" t="s">
        <v>612</v>
      </c>
      <c r="D117" s="1701"/>
      <c r="E117" s="1701"/>
      <c r="F117" s="1701"/>
      <c r="G117" s="1701"/>
      <c r="H117" s="1701"/>
      <c r="I117" s="1701"/>
      <c r="J117" s="1701"/>
      <c r="K117" s="1701"/>
      <c r="L117" s="1701"/>
      <c r="M117" s="1701"/>
      <c r="N117" s="1701"/>
      <c r="O117" s="1701"/>
      <c r="P117" s="1701"/>
      <c r="Q117" s="1701"/>
      <c r="R117" s="1701"/>
      <c r="S117" s="1701"/>
      <c r="T117" s="1701"/>
      <c r="U117" s="1702"/>
    </row>
    <row r="118" spans="2:21" ht="12.75" customHeight="1">
      <c r="B118" s="815"/>
      <c r="C118" s="826"/>
      <c r="D118" s="1703" t="s">
        <v>473</v>
      </c>
      <c r="E118" s="1704"/>
      <c r="F118" s="1704"/>
      <c r="G118" s="1704"/>
      <c r="H118" s="1704"/>
      <c r="I118" s="1704"/>
      <c r="J118" s="1704"/>
      <c r="K118" s="1704"/>
      <c r="L118" s="1704"/>
      <c r="M118" s="1704"/>
      <c r="N118" s="1704"/>
      <c r="O118" s="1704"/>
      <c r="P118" s="1704"/>
      <c r="Q118" s="1704"/>
      <c r="R118" s="1704"/>
      <c r="S118" s="1704"/>
      <c r="T118" s="1704"/>
      <c r="U118" s="806"/>
    </row>
    <row r="119" spans="2:21" ht="15.95" customHeight="1">
      <c r="B119" s="815"/>
      <c r="C119" s="817"/>
      <c r="D119" s="817"/>
      <c r="E119" s="817"/>
      <c r="F119" s="817"/>
      <c r="G119" s="817"/>
      <c r="H119" s="817"/>
      <c r="I119" s="817"/>
      <c r="J119" s="817"/>
      <c r="K119" s="817"/>
      <c r="L119" s="817"/>
      <c r="M119" s="817"/>
      <c r="N119" s="817"/>
      <c r="O119" s="817"/>
      <c r="P119" s="817"/>
      <c r="Q119" s="817"/>
      <c r="R119" s="817"/>
      <c r="S119" s="817"/>
      <c r="T119" s="817"/>
      <c r="U119" s="806"/>
    </row>
    <row r="120" spans="2:21" ht="12.75" customHeight="1">
      <c r="B120" s="815"/>
      <c r="C120" s="826"/>
      <c r="D120" s="1703" t="s">
        <v>474</v>
      </c>
      <c r="E120" s="1704"/>
      <c r="F120" s="1704"/>
      <c r="G120" s="1704"/>
      <c r="H120" s="1704"/>
      <c r="I120" s="1704"/>
      <c r="J120" s="1704"/>
      <c r="K120" s="1704"/>
      <c r="L120" s="1704"/>
      <c r="M120" s="1704"/>
      <c r="N120" s="1704"/>
      <c r="O120" s="1704"/>
      <c r="P120" s="1704"/>
      <c r="Q120" s="1704"/>
      <c r="R120" s="1704"/>
      <c r="S120" s="1704"/>
      <c r="T120" s="1704"/>
      <c r="U120" s="806"/>
    </row>
    <row r="121" spans="2:21" ht="15.95" customHeight="1">
      <c r="B121" s="815"/>
      <c r="C121" s="1770" t="s">
        <v>475</v>
      </c>
      <c r="D121" s="1770"/>
      <c r="E121" s="1770"/>
      <c r="F121" s="1770"/>
      <c r="G121" s="1770"/>
      <c r="H121" s="1770"/>
      <c r="I121" s="1770"/>
      <c r="J121" s="1770"/>
      <c r="K121" s="1770"/>
      <c r="L121" s="1770"/>
      <c r="M121" s="1770"/>
      <c r="N121" s="1770"/>
      <c r="O121" s="1770"/>
      <c r="P121" s="1770"/>
      <c r="Q121" s="1770"/>
      <c r="R121" s="1770"/>
      <c r="S121" s="1770"/>
      <c r="T121" s="1770"/>
      <c r="U121" s="806"/>
    </row>
    <row r="122" spans="2:21" ht="15.95" customHeight="1">
      <c r="B122" s="815"/>
      <c r="C122" s="1704" t="s">
        <v>476</v>
      </c>
      <c r="D122" s="1704"/>
      <c r="E122" s="1704"/>
      <c r="F122" s="1704"/>
      <c r="G122" s="1704"/>
      <c r="H122" s="1696"/>
      <c r="I122" s="1696"/>
      <c r="J122" s="1696"/>
      <c r="K122" s="1696"/>
      <c r="L122" s="1718" t="s">
        <v>478</v>
      </c>
      <c r="M122" s="1718"/>
      <c r="N122" s="1718"/>
      <c r="O122" s="1718"/>
      <c r="P122" s="1696"/>
      <c r="Q122" s="1696"/>
      <c r="R122" s="1696"/>
      <c r="S122" s="1696"/>
      <c r="T122" s="1696"/>
      <c r="U122" s="806"/>
    </row>
    <row r="123" spans="2:21" ht="15.95" customHeight="1">
      <c r="B123" s="815"/>
      <c r="C123" s="1704" t="s">
        <v>477</v>
      </c>
      <c r="D123" s="1704"/>
      <c r="E123" s="1704"/>
      <c r="F123" s="1704"/>
      <c r="G123" s="1704"/>
      <c r="H123" s="1696"/>
      <c r="I123" s="1696"/>
      <c r="J123" s="1696"/>
      <c r="K123" s="1696"/>
      <c r="L123" s="1696"/>
      <c r="M123" s="1696"/>
      <c r="N123" s="1696"/>
      <c r="O123" s="1696"/>
      <c r="P123" s="1696"/>
      <c r="Q123" s="1696"/>
      <c r="R123" s="1696"/>
      <c r="S123" s="1696"/>
      <c r="T123" s="1696"/>
      <c r="U123" s="806"/>
    </row>
    <row r="124" spans="2:21" ht="15.95" customHeight="1">
      <c r="B124" s="815"/>
      <c r="C124" s="1696"/>
      <c r="D124" s="1696"/>
      <c r="E124" s="1696"/>
      <c r="F124" s="1696"/>
      <c r="G124" s="1696"/>
      <c r="H124" s="1696"/>
      <c r="I124" s="1696"/>
      <c r="J124" s="1696"/>
      <c r="K124" s="1696"/>
      <c r="L124" s="1696"/>
      <c r="M124" s="1696"/>
      <c r="N124" s="1696"/>
      <c r="O124" s="1696"/>
      <c r="P124" s="1696"/>
      <c r="Q124" s="1696"/>
      <c r="R124" s="1696"/>
      <c r="S124" s="1696"/>
      <c r="T124" s="1696"/>
      <c r="U124" s="806"/>
    </row>
    <row r="125" spans="2:21" ht="15.95" customHeight="1">
      <c r="B125" s="815"/>
      <c r="C125" s="1712" t="s">
        <v>613</v>
      </c>
      <c r="D125" s="1712"/>
      <c r="E125" s="1712"/>
      <c r="F125" s="1712"/>
      <c r="G125" s="1712"/>
      <c r="H125" s="1712"/>
      <c r="I125" s="1712"/>
      <c r="J125" s="1713"/>
      <c r="K125" s="1713"/>
      <c r="L125" s="1713"/>
      <c r="M125" s="817"/>
      <c r="N125" s="1712" t="s">
        <v>479</v>
      </c>
      <c r="O125" s="1712"/>
      <c r="P125" s="1712"/>
      <c r="Q125" s="1713"/>
      <c r="R125" s="1713"/>
      <c r="S125" s="1713"/>
      <c r="T125" s="1713"/>
      <c r="U125" s="806"/>
    </row>
    <row r="126" spans="2:21" ht="15.95" customHeight="1">
      <c r="B126" s="815"/>
      <c r="C126" s="1704" t="s">
        <v>480</v>
      </c>
      <c r="D126" s="1704"/>
      <c r="E126" s="1704"/>
      <c r="F126" s="1704"/>
      <c r="G126" s="1704"/>
      <c r="H126" s="1704"/>
      <c r="I126" s="1696"/>
      <c r="J126" s="1696"/>
      <c r="K126" s="1696"/>
      <c r="L126" s="1696"/>
      <c r="M126" s="1696"/>
      <c r="N126" s="1696"/>
      <c r="O126" s="1696"/>
      <c r="P126" s="1696"/>
      <c r="Q126" s="1696"/>
      <c r="R126" s="1696"/>
      <c r="S126" s="1696"/>
      <c r="T126" s="1696"/>
      <c r="U126" s="806"/>
    </row>
    <row r="127" spans="2:21" ht="15.95" customHeight="1">
      <c r="B127" s="815"/>
      <c r="C127" s="1704" t="s">
        <v>481</v>
      </c>
      <c r="D127" s="1704"/>
      <c r="E127" s="1704"/>
      <c r="F127" s="1704"/>
      <c r="G127" s="1704"/>
      <c r="H127" s="1704"/>
      <c r="I127" s="1696"/>
      <c r="J127" s="1696"/>
      <c r="K127" s="1696"/>
      <c r="L127" s="1696"/>
      <c r="M127" s="1696"/>
      <c r="N127" s="1696"/>
      <c r="O127" s="1696"/>
      <c r="P127" s="1696"/>
      <c r="Q127" s="1696"/>
      <c r="R127" s="1696"/>
      <c r="S127" s="1696"/>
      <c r="T127" s="1696"/>
      <c r="U127" s="806"/>
    </row>
    <row r="128" spans="2:21" ht="15.95" customHeight="1">
      <c r="B128" s="815"/>
      <c r="C128" s="1696"/>
      <c r="D128" s="1696"/>
      <c r="E128" s="1696"/>
      <c r="F128" s="1696"/>
      <c r="G128" s="1696"/>
      <c r="H128" s="1696"/>
      <c r="I128" s="1696"/>
      <c r="J128" s="1696"/>
      <c r="K128" s="1696"/>
      <c r="L128" s="1696"/>
      <c r="M128" s="1696"/>
      <c r="N128" s="1696"/>
      <c r="O128" s="1696"/>
      <c r="P128" s="1696"/>
      <c r="Q128" s="1696"/>
      <c r="R128" s="1696"/>
      <c r="S128" s="1696"/>
      <c r="T128" s="1696"/>
      <c r="U128" s="806"/>
    </row>
    <row r="129" spans="2:21" ht="15.95" customHeight="1">
      <c r="B129" s="807"/>
      <c r="C129" s="820"/>
      <c r="D129" s="820"/>
      <c r="E129" s="820"/>
      <c r="F129" s="820"/>
      <c r="G129" s="820"/>
      <c r="H129" s="820"/>
      <c r="I129" s="820"/>
      <c r="J129" s="820"/>
      <c r="K129" s="820"/>
      <c r="L129" s="820"/>
      <c r="M129" s="820"/>
      <c r="N129" s="820"/>
      <c r="O129" s="820"/>
      <c r="P129" s="820"/>
      <c r="Q129" s="820"/>
      <c r="R129" s="820"/>
      <c r="S129" s="820"/>
      <c r="T129" s="820"/>
      <c r="U129" s="821"/>
    </row>
    <row r="130" spans="2:21" ht="31.5" customHeight="1">
      <c r="B130" s="803"/>
      <c r="C130" s="1697" t="s">
        <v>482</v>
      </c>
      <c r="D130" s="1698"/>
      <c r="E130" s="1698"/>
      <c r="F130" s="1698"/>
      <c r="G130" s="1698"/>
      <c r="H130" s="1698"/>
      <c r="I130" s="1698"/>
      <c r="J130" s="1698"/>
      <c r="K130" s="1698"/>
      <c r="L130" s="1698"/>
      <c r="M130" s="1698"/>
      <c r="N130" s="1698"/>
      <c r="O130" s="1698"/>
      <c r="P130" s="1698"/>
      <c r="Q130" s="1698"/>
      <c r="R130" s="1698"/>
      <c r="S130" s="1698"/>
      <c r="T130" s="1698"/>
      <c r="U130" s="1698"/>
    </row>
    <row r="131" spans="2:21" s="730" customFormat="1" ht="20.100000000000001" customHeight="1">
      <c r="B131" s="832"/>
      <c r="C131" s="1763" t="s">
        <v>614</v>
      </c>
      <c r="D131" s="1764"/>
      <c r="E131" s="1764"/>
      <c r="F131" s="1764"/>
      <c r="G131" s="1764"/>
      <c r="H131" s="1764"/>
      <c r="I131" s="1764"/>
      <c r="J131" s="1764"/>
      <c r="K131" s="1764"/>
      <c r="L131" s="1764"/>
      <c r="M131" s="1695" t="str">
        <f>IF(NOT(ISBLANK(County!D23)),County!D23,"")</f>
        <v>Clerk of Superior Court</v>
      </c>
      <c r="N131" s="1740"/>
      <c r="O131" s="1740"/>
      <c r="P131" s="1740"/>
      <c r="Q131" s="1740"/>
      <c r="R131" s="1740"/>
      <c r="S131" s="1742" t="s">
        <v>615</v>
      </c>
      <c r="T131" s="1694"/>
      <c r="U131" s="1694"/>
    </row>
    <row r="132" spans="2:21" s="730" customFormat="1" ht="20.100000000000001" customHeight="1">
      <c r="B132" s="832"/>
      <c r="C132" s="1694" t="str">
        <f>IF(NOT(ISBLANK(County!D24)),"by phone:  "&amp;County!D24&amp;",  by fax:  "&amp;County!D25&amp;",  by email or website:  "&amp;County!D26&amp;".","")</f>
        <v>by phone:  (602) 506-3762,  by fax:  (602) 506-1937,  by email or website:  http://www.clerkofcourt.maricopa.gov.</v>
      </c>
      <c r="D132" s="1694"/>
      <c r="E132" s="1694"/>
      <c r="F132" s="1694"/>
      <c r="G132" s="1694"/>
      <c r="H132" s="1694"/>
      <c r="I132" s="1694"/>
      <c r="J132" s="1694"/>
      <c r="K132" s="1694"/>
      <c r="L132" s="1694"/>
      <c r="M132" s="1694"/>
      <c r="N132" s="1694"/>
      <c r="O132" s="1694"/>
      <c r="P132" s="1694"/>
      <c r="Q132" s="1694"/>
      <c r="R132" s="1694"/>
      <c r="S132" s="1694"/>
      <c r="T132" s="1694"/>
      <c r="U132" s="1694"/>
    </row>
    <row r="133" spans="2:21" s="730" customFormat="1" ht="20.100000000000001" customHeight="1">
      <c r="B133" s="832"/>
      <c r="C133" s="1694" t="s">
        <v>565</v>
      </c>
      <c r="D133" s="1694"/>
      <c r="E133" s="1694"/>
      <c r="F133" s="1694"/>
      <c r="G133" s="1694"/>
      <c r="H133" s="1694"/>
      <c r="I133" s="1694"/>
      <c r="J133" s="1694"/>
      <c r="K133" s="1694"/>
      <c r="L133" s="1694"/>
      <c r="M133" s="1695" t="str">
        <f>IF(NOT(ISBLANK(County!D27)),County!D27&amp;",","")</f>
        <v>Clerk of Superior Court, Family Court Services,</v>
      </c>
      <c r="N133" s="1695"/>
      <c r="O133" s="1695"/>
      <c r="P133" s="1695"/>
      <c r="Q133" s="1695"/>
      <c r="R133" s="1695"/>
      <c r="S133" s="1695"/>
      <c r="T133" s="1695"/>
      <c r="U133" s="1695"/>
    </row>
    <row r="134" spans="2:21" s="730" customFormat="1" ht="20.100000000000001" customHeight="1">
      <c r="B134" s="832"/>
      <c r="C134" s="1695" t="str">
        <f>IF(NOT(ISBLANK(County!D28)),County!D28,"")</f>
        <v>201 W. Jefferson, Phoenix, AZ 85003</v>
      </c>
      <c r="D134" s="1695"/>
      <c r="E134" s="1695"/>
      <c r="F134" s="1695"/>
      <c r="G134" s="1695"/>
      <c r="H134" s="1695"/>
      <c r="I134" s="1695"/>
      <c r="J134" s="1695"/>
      <c r="K134" s="1695"/>
      <c r="L134" s="1695"/>
      <c r="M134" s="1695"/>
      <c r="N134" s="1695"/>
      <c r="O134" s="1695"/>
      <c r="P134" s="1695"/>
      <c r="Q134" s="1695"/>
      <c r="R134" s="1740"/>
      <c r="S134" s="1741" t="s">
        <v>616</v>
      </c>
      <c r="T134" s="1741"/>
      <c r="U134" s="1741"/>
    </row>
    <row r="135" spans="2:21" s="730" customFormat="1" ht="20.100000000000001" customHeight="1">
      <c r="B135" s="832"/>
      <c r="C135" s="1743" t="s">
        <v>600</v>
      </c>
      <c r="D135" s="1704"/>
      <c r="E135" s="1704"/>
      <c r="F135" s="1704"/>
      <c r="G135" s="1704"/>
      <c r="H135" s="1704"/>
      <c r="I135" s="1704"/>
      <c r="J135" s="1704"/>
      <c r="K135" s="1704"/>
      <c r="L135" s="1704"/>
      <c r="M135" s="1726" t="str">
        <f>IF(NOT(ISBLANK(County!D29)),County!D29,"")</f>
        <v>Clerk of Superior Court</v>
      </c>
      <c r="N135" s="1726"/>
      <c r="O135" s="1726"/>
      <c r="P135" s="1726"/>
      <c r="Q135" s="1726"/>
      <c r="R135" s="1713"/>
      <c r="S135" s="1704" t="s">
        <v>615</v>
      </c>
      <c r="T135" s="1656"/>
      <c r="U135" s="1656"/>
    </row>
    <row r="136" spans="2:21" s="730" customFormat="1" ht="20.100000000000001" customHeight="1">
      <c r="B136" s="832"/>
      <c r="C136" s="1744" t="str">
        <f>IF(NOT(ISBLANK(County!D30)),"by phone:  "&amp;County!D30&amp;",  by fax:  "&amp;County!D31&amp;",  by email or website:  "&amp;County!D32&amp;".","")</f>
        <v>by phone:  (602) 506-3762,  by fax:  (602) 506-1937,  by email or website:  http://www.clerkofcourt.maricopa.gov.</v>
      </c>
      <c r="D136" s="1694"/>
      <c r="E136" s="1694"/>
      <c r="F136" s="1694"/>
      <c r="G136" s="1694"/>
      <c r="H136" s="1694"/>
      <c r="I136" s="1694"/>
      <c r="J136" s="1694"/>
      <c r="K136" s="1694"/>
      <c r="L136" s="1694"/>
      <c r="M136" s="1694"/>
      <c r="N136" s="1694"/>
      <c r="O136" s="1694"/>
      <c r="P136" s="1694"/>
      <c r="Q136" s="1694"/>
      <c r="R136" s="1694"/>
      <c r="S136" s="1694"/>
      <c r="T136" s="1694"/>
      <c r="U136" s="1694"/>
    </row>
    <row r="137" spans="2:21" ht="16.5" customHeight="1">
      <c r="B137" s="803"/>
      <c r="C137" s="803"/>
      <c r="D137" s="803"/>
      <c r="E137" s="803"/>
      <c r="F137" s="803"/>
      <c r="G137" s="803"/>
      <c r="H137" s="803"/>
      <c r="I137" s="803"/>
      <c r="J137" s="803"/>
      <c r="K137" s="803"/>
      <c r="L137" s="803"/>
      <c r="M137" s="803"/>
      <c r="N137" s="803"/>
      <c r="O137" s="803"/>
      <c r="P137" s="803"/>
      <c r="Q137" s="803"/>
      <c r="R137" s="803"/>
      <c r="S137" s="803"/>
      <c r="T137" s="803"/>
      <c r="U137" s="803"/>
    </row>
    <row r="138" spans="2:21" ht="30.75" customHeight="1">
      <c r="B138" s="803"/>
      <c r="C138" s="803"/>
      <c r="D138" s="803"/>
      <c r="E138" s="803"/>
      <c r="F138" s="803"/>
      <c r="G138" s="803"/>
      <c r="H138" s="803"/>
      <c r="I138" s="803"/>
      <c r="J138" s="803"/>
      <c r="K138" s="803"/>
      <c r="L138" s="803"/>
      <c r="M138" s="803"/>
      <c r="N138" s="803"/>
      <c r="O138" s="803"/>
      <c r="P138" s="803"/>
      <c r="Q138" s="803"/>
      <c r="R138" s="803"/>
      <c r="S138" s="803"/>
      <c r="T138" s="803"/>
      <c r="U138" s="803"/>
    </row>
    <row r="139" spans="2:21" ht="12.75" customHeight="1">
      <c r="B139" s="803"/>
      <c r="C139" s="833"/>
      <c r="D139" s="833"/>
      <c r="E139" s="833"/>
      <c r="F139" s="833"/>
      <c r="G139" s="833"/>
      <c r="H139" s="833"/>
      <c r="I139" s="833"/>
      <c r="J139" s="833"/>
      <c r="K139" s="833"/>
      <c r="L139" s="833"/>
      <c r="M139" s="833"/>
      <c r="N139" s="833"/>
      <c r="O139" s="833"/>
      <c r="P139" s="833"/>
      <c r="Q139" s="833"/>
      <c r="R139" s="833"/>
      <c r="S139" s="833"/>
      <c r="T139" s="833"/>
      <c r="U139" s="833"/>
    </row>
    <row r="140" spans="2:21" ht="12.75" customHeight="1">
      <c r="B140" s="803"/>
      <c r="C140" s="833"/>
      <c r="D140" s="833"/>
      <c r="E140" s="833"/>
      <c r="F140" s="833"/>
      <c r="G140" s="833"/>
      <c r="H140" s="833"/>
      <c r="I140" s="833"/>
      <c r="J140" s="833"/>
      <c r="K140" s="833"/>
      <c r="L140" s="833"/>
      <c r="M140" s="833"/>
      <c r="N140" s="833"/>
      <c r="O140" s="833"/>
      <c r="P140" s="833"/>
      <c r="Q140" s="833"/>
      <c r="R140" s="833"/>
      <c r="S140" s="833"/>
      <c r="T140" s="833"/>
      <c r="U140" s="833"/>
    </row>
    <row r="141" spans="2:21" ht="12.75" customHeight="1">
      <c r="B141" s="803"/>
      <c r="C141" s="833"/>
      <c r="D141" s="833"/>
      <c r="E141" s="833"/>
      <c r="F141" s="833"/>
      <c r="G141" s="833"/>
      <c r="H141" s="833"/>
      <c r="I141" s="833"/>
      <c r="J141" s="833"/>
      <c r="K141" s="833"/>
      <c r="L141" s="833"/>
      <c r="M141" s="833"/>
      <c r="N141" s="833"/>
      <c r="O141" s="833"/>
      <c r="P141" s="833"/>
      <c r="Q141" s="833"/>
      <c r="R141" s="833"/>
      <c r="S141" s="833"/>
      <c r="T141" s="833"/>
      <c r="U141" s="833"/>
    </row>
    <row r="142" spans="2:21" ht="12.75" customHeight="1">
      <c r="B142" s="803"/>
      <c r="C142" s="833"/>
      <c r="D142" s="833"/>
      <c r="E142" s="833"/>
      <c r="F142" s="833"/>
      <c r="G142" s="833"/>
      <c r="H142" s="833"/>
      <c r="I142" s="833"/>
      <c r="J142" s="833"/>
      <c r="K142" s="833"/>
      <c r="L142" s="833"/>
      <c r="M142" s="833"/>
      <c r="N142" s="833"/>
      <c r="O142" s="833"/>
      <c r="P142" s="833"/>
      <c r="Q142" s="833"/>
      <c r="R142" s="833"/>
      <c r="S142" s="833"/>
      <c r="T142" s="833"/>
      <c r="U142" s="833"/>
    </row>
    <row r="143" spans="2:21" ht="12.75" customHeight="1">
      <c r="B143" s="803"/>
      <c r="C143" s="833"/>
      <c r="D143" s="833"/>
      <c r="E143" s="833"/>
      <c r="F143" s="833"/>
      <c r="G143" s="833"/>
      <c r="H143" s="833"/>
      <c r="I143" s="833"/>
      <c r="J143" s="833"/>
      <c r="K143" s="833"/>
      <c r="L143" s="833"/>
      <c r="M143" s="833"/>
      <c r="N143" s="833"/>
      <c r="O143" s="833"/>
      <c r="P143" s="833"/>
      <c r="Q143" s="833"/>
      <c r="R143" s="833"/>
      <c r="S143" s="833"/>
      <c r="T143" s="833"/>
      <c r="U143" s="833"/>
    </row>
    <row r="144" spans="2:21" ht="12.75" customHeight="1">
      <c r="B144" s="803"/>
      <c r="C144" s="833"/>
      <c r="D144" s="833"/>
      <c r="E144" s="833"/>
      <c r="F144" s="833"/>
      <c r="G144" s="833"/>
      <c r="H144" s="833"/>
      <c r="I144" s="833"/>
      <c r="J144" s="833"/>
      <c r="K144" s="833"/>
      <c r="L144" s="833"/>
      <c r="M144" s="833"/>
      <c r="N144" s="833"/>
      <c r="O144" s="833"/>
      <c r="P144" s="833"/>
      <c r="Q144" s="833"/>
      <c r="R144" s="833"/>
      <c r="S144" s="833"/>
      <c r="T144" s="833"/>
      <c r="U144" s="833"/>
    </row>
    <row r="145" spans="2:21" ht="12.75" customHeight="1">
      <c r="B145" s="803"/>
      <c r="C145" s="833"/>
      <c r="D145" s="833"/>
      <c r="E145" s="833"/>
      <c r="F145" s="833"/>
      <c r="G145" s="833"/>
      <c r="H145" s="833"/>
      <c r="I145" s="833"/>
      <c r="J145" s="833"/>
      <c r="K145" s="833"/>
      <c r="L145" s="833"/>
      <c r="M145" s="833"/>
      <c r="N145" s="833"/>
      <c r="O145" s="833"/>
      <c r="P145" s="833"/>
      <c r="Q145" s="833"/>
      <c r="R145" s="833"/>
      <c r="S145" s="833"/>
      <c r="T145" s="833"/>
      <c r="U145" s="833"/>
    </row>
    <row r="146" spans="2:21" ht="12.75" customHeight="1">
      <c r="B146" s="803"/>
      <c r="C146" s="833"/>
      <c r="D146" s="833"/>
      <c r="E146" s="833"/>
      <c r="F146" s="833"/>
      <c r="G146" s="833"/>
      <c r="H146" s="833"/>
      <c r="I146" s="833"/>
      <c r="J146" s="833"/>
      <c r="K146" s="833"/>
      <c r="L146" s="833"/>
      <c r="M146" s="833"/>
      <c r="N146" s="833"/>
      <c r="O146" s="833"/>
      <c r="P146" s="833"/>
      <c r="Q146" s="833"/>
      <c r="R146" s="833"/>
      <c r="S146" s="833"/>
      <c r="T146" s="833"/>
      <c r="U146" s="833"/>
    </row>
    <row r="147" spans="2:21" ht="12.75" customHeight="1">
      <c r="B147" s="803"/>
      <c r="C147" s="1751" t="s">
        <v>585</v>
      </c>
      <c r="D147" s="1752"/>
      <c r="E147" s="1752"/>
      <c r="F147" s="1752"/>
      <c r="G147" s="1752"/>
      <c r="H147" s="1752"/>
      <c r="I147" s="1752"/>
      <c r="J147" s="1752"/>
      <c r="K147" s="1752"/>
      <c r="L147" s="1752"/>
      <c r="M147" s="1752"/>
      <c r="N147" s="1752"/>
      <c r="O147" s="1752"/>
      <c r="P147" s="1752"/>
      <c r="Q147" s="1752"/>
      <c r="R147" s="1752"/>
      <c r="S147" s="1752"/>
      <c r="T147" s="1752"/>
      <c r="U147" s="1752"/>
    </row>
    <row r="148" spans="2:21" ht="64.5" customHeight="1">
      <c r="B148" s="803"/>
      <c r="C148" s="1753" t="s">
        <v>617</v>
      </c>
      <c r="D148" s="1754"/>
      <c r="E148" s="1754"/>
      <c r="F148" s="1754"/>
      <c r="G148" s="1754"/>
      <c r="H148" s="1754"/>
      <c r="I148" s="1754"/>
      <c r="J148" s="1754"/>
      <c r="K148" s="1754"/>
      <c r="L148" s="1754"/>
      <c r="M148" s="1754"/>
      <c r="N148" s="1754"/>
      <c r="O148" s="1754"/>
      <c r="P148" s="1754"/>
      <c r="Q148" s="1754"/>
      <c r="R148" s="1754"/>
      <c r="S148" s="1754"/>
      <c r="T148" s="1754"/>
      <c r="U148" s="1754"/>
    </row>
    <row r="149" spans="2:21" ht="12.75" customHeight="1">
      <c r="B149" s="803"/>
      <c r="C149" s="800"/>
      <c r="D149" s="800"/>
      <c r="E149" s="800"/>
      <c r="F149" s="800"/>
      <c r="G149" s="800"/>
      <c r="H149" s="800"/>
      <c r="I149" s="800"/>
      <c r="J149" s="800"/>
      <c r="K149" s="800"/>
      <c r="L149" s="800"/>
      <c r="M149" s="800"/>
      <c r="N149" s="800"/>
      <c r="O149" s="800"/>
      <c r="P149" s="800"/>
      <c r="Q149" s="800"/>
      <c r="R149" s="800"/>
      <c r="S149" s="800"/>
      <c r="T149" s="800"/>
      <c r="U149" s="800"/>
    </row>
    <row r="150" spans="2:21" ht="26.25" customHeight="1">
      <c r="B150" s="803"/>
      <c r="C150" s="1753" t="s">
        <v>618</v>
      </c>
      <c r="D150" s="1754"/>
      <c r="E150" s="1754"/>
      <c r="F150" s="1754"/>
      <c r="G150" s="1754"/>
      <c r="H150" s="1754"/>
      <c r="I150" s="1754"/>
      <c r="J150" s="1754"/>
      <c r="K150" s="1754"/>
      <c r="L150" s="1754"/>
      <c r="M150" s="1754"/>
      <c r="N150" s="1754"/>
      <c r="O150" s="1754"/>
      <c r="P150" s="1754"/>
      <c r="Q150" s="1754"/>
      <c r="R150" s="1754"/>
      <c r="S150" s="1754"/>
      <c r="T150" s="1754"/>
      <c r="U150" s="1754"/>
    </row>
    <row r="151" spans="2:21" ht="12.75" customHeight="1">
      <c r="B151" s="803"/>
      <c r="C151" s="833"/>
      <c r="D151" s="833"/>
      <c r="E151" s="833"/>
      <c r="F151" s="833"/>
      <c r="G151" s="833"/>
      <c r="H151" s="833"/>
      <c r="I151" s="833"/>
      <c r="J151" s="833"/>
      <c r="K151" s="833"/>
      <c r="L151" s="833"/>
      <c r="M151" s="833"/>
      <c r="N151" s="833"/>
      <c r="O151" s="833"/>
      <c r="P151" s="833"/>
      <c r="Q151" s="833"/>
      <c r="R151" s="833"/>
      <c r="S151" s="833"/>
      <c r="T151" s="833"/>
      <c r="U151" s="833"/>
    </row>
    <row r="152" spans="2:21" ht="12.75" customHeight="1">
      <c r="B152" s="803"/>
      <c r="C152" s="833"/>
      <c r="D152" s="833"/>
      <c r="E152" s="833"/>
      <c r="F152" s="833"/>
      <c r="G152" s="833"/>
      <c r="H152" s="833"/>
      <c r="I152" s="833"/>
      <c r="J152" s="833"/>
      <c r="K152" s="833"/>
      <c r="L152" s="833"/>
      <c r="M152" s="833"/>
      <c r="N152" s="833"/>
      <c r="O152" s="833"/>
      <c r="P152" s="833"/>
      <c r="Q152" s="833"/>
      <c r="R152" s="833"/>
      <c r="S152" s="833"/>
      <c r="T152" s="833"/>
      <c r="U152" s="833"/>
    </row>
    <row r="153" spans="2:21" ht="12.75" customHeight="1">
      <c r="B153" s="803"/>
      <c r="C153" s="833"/>
      <c r="D153" s="833"/>
      <c r="E153" s="833"/>
      <c r="F153" s="833"/>
      <c r="G153" s="833"/>
      <c r="H153" s="833"/>
      <c r="I153" s="833"/>
      <c r="J153" s="833"/>
      <c r="K153" s="833"/>
      <c r="L153" s="833"/>
      <c r="M153" s="833"/>
      <c r="N153" s="833"/>
      <c r="O153" s="833"/>
      <c r="P153" s="833"/>
      <c r="Q153" s="833"/>
      <c r="R153" s="833"/>
      <c r="S153" s="833"/>
      <c r="T153" s="833"/>
      <c r="U153" s="833"/>
    </row>
    <row r="154" spans="2:21" ht="22.5" customHeight="1">
      <c r="B154" s="803"/>
      <c r="C154" s="1755" t="s">
        <v>586</v>
      </c>
      <c r="D154" s="1756"/>
      <c r="E154" s="1756"/>
      <c r="F154" s="1756"/>
      <c r="G154" s="1756"/>
      <c r="H154" s="1756"/>
      <c r="I154" s="1756"/>
      <c r="J154" s="1756"/>
      <c r="K154" s="1756"/>
      <c r="L154" s="1756"/>
      <c r="M154" s="1756"/>
      <c r="N154" s="1756"/>
      <c r="O154" s="1756"/>
      <c r="P154" s="1756"/>
      <c r="Q154" s="1756"/>
      <c r="R154" s="1756"/>
      <c r="S154" s="1756"/>
      <c r="T154" s="1756"/>
      <c r="U154" s="1756"/>
    </row>
    <row r="155" spans="2:21" ht="12.75" customHeight="1">
      <c r="B155" s="803"/>
      <c r="C155" s="840"/>
      <c r="D155" s="840"/>
      <c r="E155" s="840"/>
      <c r="F155" s="840"/>
      <c r="G155" s="840"/>
      <c r="H155" s="840"/>
      <c r="I155" s="840"/>
      <c r="J155" s="840"/>
      <c r="K155" s="840"/>
      <c r="L155" s="840"/>
      <c r="M155" s="840"/>
      <c r="N155" s="840"/>
      <c r="O155" s="840"/>
      <c r="P155" s="840"/>
      <c r="Q155" s="840"/>
      <c r="R155" s="840"/>
      <c r="S155" s="840"/>
      <c r="T155" s="840"/>
      <c r="U155" s="840"/>
    </row>
    <row r="156" spans="2:21" ht="32.25" customHeight="1">
      <c r="B156" s="803"/>
      <c r="C156" s="1757" t="str">
        <f ca="1">IF(NOT(ISBLANK(Worksheet!L32)),"This order is effective "&amp;TEXT(Worksheet!L32,"mmmm d, yyyy")&amp;".  All rules on page 2 under REMITTANCE INFORMATION apply after the effective date.","This order is effective_____________.  All rules on page 2 under REMITTANCE INFORMATION apply after the effective date.")</f>
        <v>This order is effective July 2, 2015.  All rules on page 2 under REMITTANCE INFORMATION apply after the effective date.</v>
      </c>
      <c r="D156" s="1758"/>
      <c r="E156" s="1758"/>
      <c r="F156" s="1758"/>
      <c r="G156" s="1758"/>
      <c r="H156" s="1758"/>
      <c r="I156" s="1758"/>
      <c r="J156" s="1758"/>
      <c r="K156" s="1758"/>
      <c r="L156" s="1758"/>
      <c r="M156" s="1758"/>
      <c r="N156" s="1758"/>
      <c r="O156" s="1758"/>
      <c r="P156" s="1758"/>
      <c r="Q156" s="1758"/>
      <c r="R156" s="1758"/>
      <c r="S156" s="1758"/>
      <c r="T156" s="1758"/>
      <c r="U156" s="1758"/>
    </row>
    <row r="157" spans="2:21" ht="12.75" customHeight="1">
      <c r="B157" s="803"/>
      <c r="C157" s="840"/>
      <c r="D157" s="840"/>
      <c r="E157" s="840"/>
      <c r="F157" s="840"/>
      <c r="G157" s="840"/>
      <c r="H157" s="840"/>
      <c r="I157" s="840"/>
      <c r="J157" s="840"/>
      <c r="K157" s="840"/>
      <c r="L157" s="840"/>
      <c r="M157" s="840"/>
      <c r="N157" s="840"/>
      <c r="O157" s="840"/>
      <c r="P157" s="840"/>
      <c r="Q157" s="840"/>
      <c r="R157" s="840"/>
      <c r="S157" s="840"/>
      <c r="T157" s="840"/>
      <c r="U157" s="840"/>
    </row>
    <row r="158" spans="2:21" ht="17.25" customHeight="1">
      <c r="B158" s="803"/>
      <c r="C158" s="1762" t="s">
        <v>619</v>
      </c>
      <c r="D158" s="1762"/>
      <c r="E158" s="1762"/>
      <c r="F158" s="1762"/>
      <c r="G158" s="1762"/>
      <c r="H158" s="1762"/>
      <c r="I158" s="1762"/>
      <c r="J158" s="1762"/>
      <c r="K158" s="1762"/>
      <c r="L158" s="1762"/>
      <c r="M158" s="1762"/>
      <c r="R158" s="1737"/>
      <c r="S158" s="1738"/>
      <c r="T158" s="1738"/>
      <c r="U158" s="841"/>
    </row>
    <row r="159" spans="2:21" ht="15.75" customHeight="1">
      <c r="B159" s="803"/>
      <c r="C159" s="1737" t="s">
        <v>623</v>
      </c>
      <c r="D159" s="916"/>
      <c r="E159" s="916"/>
      <c r="F159" s="916"/>
      <c r="G159" s="916"/>
      <c r="H159" s="916"/>
      <c r="I159" s="916"/>
      <c r="J159" s="916"/>
      <c r="K159" s="916"/>
      <c r="L159" s="916"/>
      <c r="M159" s="916"/>
      <c r="N159" s="916"/>
      <c r="O159" s="1765" t="str">
        <f ca="1">IF(OR(NOT(ISBLANK(Worksheet!$J$245)),NOT(ISBLANK(Worksheet!$O$245))),Worksheet!$J$245,Worksheet!$J$244)</f>
        <v/>
      </c>
      <c r="P159" s="1766"/>
      <c r="Q159" s="1046"/>
      <c r="R159" s="1046"/>
      <c r="S159" s="1735" t="str">
        <f ca="1">IF(OR(NOT(ISBLANK(Worksheet!J245)),NOT(ISBLANK(Worksheet!O245))),Worksheet!O245," "&amp;Worksheet!O244)</f>
        <v xml:space="preserve"> </v>
      </c>
      <c r="T159" s="1736"/>
    </row>
    <row r="160" spans="2:21" ht="45.75" customHeight="1">
      <c r="B160" s="803"/>
      <c r="C160" s="1699" t="s">
        <v>620</v>
      </c>
      <c r="D160" s="1699"/>
      <c r="E160" s="1699"/>
      <c r="F160" s="1699"/>
      <c r="G160" s="1699"/>
      <c r="H160" s="1699"/>
      <c r="I160" s="1699"/>
      <c r="J160" s="1699"/>
      <c r="K160" s="1699"/>
      <c r="L160" s="1699"/>
      <c r="M160" s="1699"/>
      <c r="N160" s="1699"/>
      <c r="O160" s="1699"/>
      <c r="P160" s="1699"/>
      <c r="Q160" s="1699"/>
      <c r="R160" s="1699"/>
      <c r="S160" s="1699"/>
      <c r="T160" s="1699"/>
      <c r="U160" s="1699"/>
    </row>
    <row r="161" spans="2:21" ht="12.75" customHeight="1">
      <c r="B161" s="803"/>
      <c r="C161" s="840"/>
      <c r="D161" s="840"/>
      <c r="E161" s="840"/>
      <c r="F161" s="840"/>
      <c r="G161" s="840"/>
      <c r="H161" s="840"/>
      <c r="I161" s="840"/>
      <c r="J161" s="840"/>
      <c r="K161" s="840"/>
      <c r="L161" s="840"/>
      <c r="M161" s="840"/>
      <c r="N161" s="840"/>
      <c r="O161" s="840"/>
      <c r="P161" s="840"/>
      <c r="Q161" s="840"/>
      <c r="R161" s="840"/>
      <c r="S161" s="840"/>
      <c r="T161" s="840"/>
      <c r="U161" s="840"/>
    </row>
    <row r="162" spans="2:21" ht="12.75" customHeight="1">
      <c r="B162" s="803"/>
      <c r="C162" s="833"/>
      <c r="D162" s="833"/>
      <c r="E162" s="833"/>
      <c r="F162" s="833"/>
      <c r="G162" s="833"/>
      <c r="H162" s="833"/>
      <c r="I162" s="833"/>
      <c r="J162" s="833"/>
      <c r="K162" s="833"/>
      <c r="L162" s="833"/>
      <c r="M162" s="833"/>
      <c r="N162" s="833"/>
      <c r="O162" s="833"/>
      <c r="P162" s="833"/>
      <c r="Q162" s="833"/>
      <c r="R162" s="833"/>
      <c r="S162" s="833"/>
      <c r="T162" s="833"/>
      <c r="U162" s="833"/>
    </row>
    <row r="163" spans="2:21" ht="24" customHeight="1">
      <c r="B163" s="803"/>
      <c r="C163" s="833"/>
      <c r="D163" s="833"/>
      <c r="E163" s="833"/>
      <c r="F163" s="833"/>
      <c r="G163" s="833"/>
      <c r="H163" s="1767" t="s">
        <v>621</v>
      </c>
      <c r="I163" s="1768"/>
      <c r="J163" s="1768"/>
      <c r="K163" s="1768"/>
      <c r="L163" s="1768"/>
      <c r="M163" s="1768"/>
      <c r="N163" s="1768"/>
      <c r="O163" s="1768"/>
      <c r="P163" s="1769"/>
      <c r="Q163" s="833"/>
      <c r="R163" s="833"/>
      <c r="S163" s="833"/>
      <c r="T163" s="833"/>
      <c r="U163" s="833"/>
    </row>
    <row r="164" spans="2:21" ht="138" customHeight="1">
      <c r="B164" s="817"/>
      <c r="C164" s="817"/>
      <c r="D164" s="834"/>
      <c r="E164" s="834"/>
      <c r="F164" s="834"/>
      <c r="G164" s="834"/>
      <c r="H164" s="1759" t="s">
        <v>622</v>
      </c>
      <c r="I164" s="1760"/>
      <c r="J164" s="1760"/>
      <c r="K164" s="1760"/>
      <c r="L164" s="1760"/>
      <c r="M164" s="1760"/>
      <c r="N164" s="1760"/>
      <c r="O164" s="1760"/>
      <c r="P164" s="1761"/>
      <c r="Q164" s="834"/>
      <c r="R164" s="834"/>
      <c r="S164" s="834"/>
      <c r="T164" s="834"/>
      <c r="U164" s="817"/>
    </row>
    <row r="165" spans="2:21" ht="13.5">
      <c r="B165" s="803"/>
      <c r="C165" s="803"/>
      <c r="D165" s="803"/>
      <c r="E165" s="803"/>
      <c r="F165" s="803"/>
      <c r="G165" s="803"/>
      <c r="H165" s="803"/>
      <c r="I165" s="803"/>
      <c r="J165" s="803"/>
      <c r="K165" s="803"/>
      <c r="L165" s="803"/>
      <c r="M165" s="803"/>
      <c r="N165" s="803"/>
      <c r="O165" s="803"/>
      <c r="P165" s="803"/>
      <c r="Q165" s="803"/>
      <c r="R165" s="803"/>
      <c r="S165" s="803"/>
      <c r="T165" s="803"/>
      <c r="U165" s="803"/>
    </row>
    <row r="166" spans="2:21" ht="13.5">
      <c r="B166" s="1720"/>
      <c r="C166" s="1720"/>
      <c r="D166" s="1720"/>
      <c r="E166" s="1720"/>
      <c r="F166" s="1720"/>
      <c r="G166" s="1720"/>
      <c r="H166" s="1720"/>
      <c r="I166" s="1720"/>
      <c r="J166" s="1720"/>
      <c r="K166" s="1720"/>
      <c r="L166" s="1720"/>
      <c r="M166" s="1720"/>
      <c r="N166" s="1720"/>
      <c r="O166" s="1720"/>
      <c r="P166" s="1720"/>
      <c r="Q166" s="1720"/>
      <c r="R166" s="1720"/>
      <c r="S166" s="1720"/>
      <c r="T166" s="1720"/>
      <c r="U166" s="1720"/>
    </row>
    <row r="167" spans="2:21" ht="13.5">
      <c r="B167" s="803"/>
      <c r="C167" s="803"/>
      <c r="D167" s="803"/>
      <c r="E167" s="803"/>
      <c r="F167" s="803"/>
      <c r="G167" s="803"/>
      <c r="H167" s="803"/>
      <c r="I167" s="803"/>
      <c r="J167" s="803"/>
      <c r="K167" s="803"/>
      <c r="L167" s="803"/>
      <c r="M167" s="803"/>
      <c r="N167" s="803"/>
      <c r="O167" s="803"/>
      <c r="P167" s="803"/>
      <c r="Q167" s="803"/>
      <c r="R167" s="803"/>
      <c r="S167" s="803"/>
      <c r="T167" s="803"/>
      <c r="U167" s="803"/>
    </row>
    <row r="168" spans="2:21" ht="13.5">
      <c r="B168" s="803"/>
      <c r="C168" s="803"/>
      <c r="D168" s="803"/>
      <c r="E168" s="803"/>
      <c r="F168" s="803"/>
      <c r="G168" s="803"/>
      <c r="H168" s="803"/>
      <c r="I168" s="803"/>
      <c r="J168" s="803"/>
      <c r="K168" s="803"/>
      <c r="L168" s="803"/>
      <c r="M168" s="803"/>
      <c r="N168" s="803"/>
      <c r="O168" s="803"/>
      <c r="P168" s="803"/>
      <c r="Q168" s="803"/>
      <c r="R168" s="803"/>
      <c r="S168" s="803"/>
      <c r="T168" s="803"/>
      <c r="U168" s="803"/>
    </row>
  </sheetData>
  <sheetProtection password="CA2C" sheet="1" objects="1" scenarios="1"/>
  <mergeCells count="209">
    <mergeCell ref="C147:U147"/>
    <mergeCell ref="C148:U148"/>
    <mergeCell ref="C150:U150"/>
    <mergeCell ref="C154:U154"/>
    <mergeCell ref="C156:U156"/>
    <mergeCell ref="H164:P164"/>
    <mergeCell ref="C114:H114"/>
    <mergeCell ref="C115:H115"/>
    <mergeCell ref="I115:L115"/>
    <mergeCell ref="M115:O115"/>
    <mergeCell ref="P115:U115"/>
    <mergeCell ref="C158:M158"/>
    <mergeCell ref="I114:N114"/>
    <mergeCell ref="Q114:U114"/>
    <mergeCell ref="C131:L131"/>
    <mergeCell ref="O159:R159"/>
    <mergeCell ref="C159:N159"/>
    <mergeCell ref="H163:P163"/>
    <mergeCell ref="D120:T120"/>
    <mergeCell ref="C121:T121"/>
    <mergeCell ref="C122:G122"/>
    <mergeCell ref="C123:G123"/>
    <mergeCell ref="P122:T122"/>
    <mergeCell ref="L122:O122"/>
    <mergeCell ref="C66:U66"/>
    <mergeCell ref="D65:U65"/>
    <mergeCell ref="C67:L67"/>
    <mergeCell ref="M67:T67"/>
    <mergeCell ref="C79:U79"/>
    <mergeCell ref="C80:U80"/>
    <mergeCell ref="C111:U111"/>
    <mergeCell ref="C90:T90"/>
    <mergeCell ref="C93:T93"/>
    <mergeCell ref="C94:T94"/>
    <mergeCell ref="C95:T95"/>
    <mergeCell ref="C88:T88"/>
    <mergeCell ref="I83:N83"/>
    <mergeCell ref="Q83:U83"/>
    <mergeCell ref="M84:O84"/>
    <mergeCell ref="P84:U84"/>
    <mergeCell ref="C87:U87"/>
    <mergeCell ref="C86:U86"/>
    <mergeCell ref="C89:T89"/>
    <mergeCell ref="C100:U100"/>
    <mergeCell ref="C102:T102"/>
    <mergeCell ref="C103:T103"/>
    <mergeCell ref="C104:T104"/>
    <mergeCell ref="C105:T105"/>
    <mergeCell ref="B166:U166"/>
    <mergeCell ref="S159:T159"/>
    <mergeCell ref="R158:T158"/>
    <mergeCell ref="C14:G14"/>
    <mergeCell ref="M24:T24"/>
    <mergeCell ref="C134:R134"/>
    <mergeCell ref="S134:U134"/>
    <mergeCell ref="M131:R131"/>
    <mergeCell ref="S131:U131"/>
    <mergeCell ref="S135:U135"/>
    <mergeCell ref="M135:R135"/>
    <mergeCell ref="C135:L135"/>
    <mergeCell ref="C136:U136"/>
    <mergeCell ref="C132:U132"/>
    <mergeCell ref="C16:G16"/>
    <mergeCell ref="C15:G15"/>
    <mergeCell ref="C22:K22"/>
    <mergeCell ref="M19:T19"/>
    <mergeCell ref="C19:K19"/>
    <mergeCell ref="C21:K21"/>
    <mergeCell ref="M20:T20"/>
    <mergeCell ref="N46:U46"/>
    <mergeCell ref="C54:H54"/>
    <mergeCell ref="I54:L54"/>
    <mergeCell ref="O8:T8"/>
    <mergeCell ref="C12:U12"/>
    <mergeCell ref="P11:T11"/>
    <mergeCell ref="H14:J14"/>
    <mergeCell ref="C39:F39"/>
    <mergeCell ref="C40:F40"/>
    <mergeCell ref="C41:F41"/>
    <mergeCell ref="C35:F35"/>
    <mergeCell ref="C36:F36"/>
    <mergeCell ref="C37:F37"/>
    <mergeCell ref="C38:F38"/>
    <mergeCell ref="H15:J15"/>
    <mergeCell ref="H16:J16"/>
    <mergeCell ref="C23:K23"/>
    <mergeCell ref="C20:K20"/>
    <mergeCell ref="K26:N26"/>
    <mergeCell ref="K27:N27"/>
    <mergeCell ref="K28:N28"/>
    <mergeCell ref="K29:N29"/>
    <mergeCell ref="K30:N30"/>
    <mergeCell ref="C31:I31"/>
    <mergeCell ref="C25:I25"/>
    <mergeCell ref="B1:U1"/>
    <mergeCell ref="C24:H24"/>
    <mergeCell ref="I24:L24"/>
    <mergeCell ref="H52:L52"/>
    <mergeCell ref="M52:O52"/>
    <mergeCell ref="P52:U52"/>
    <mergeCell ref="C53:H53"/>
    <mergeCell ref="N47:U47"/>
    <mergeCell ref="C46:F46"/>
    <mergeCell ref="C47:F47"/>
    <mergeCell ref="C29:I29"/>
    <mergeCell ref="C30:I30"/>
    <mergeCell ref="M21:T21"/>
    <mergeCell ref="M22:T22"/>
    <mergeCell ref="M23:T23"/>
    <mergeCell ref="M18:T18"/>
    <mergeCell ref="C18:K18"/>
    <mergeCell ref="C34:T34"/>
    <mergeCell ref="C44:T44"/>
    <mergeCell ref="I41:J41"/>
    <mergeCell ref="K41:P41"/>
    <mergeCell ref="C42:H42"/>
    <mergeCell ref="C45:T45"/>
    <mergeCell ref="L46:M46"/>
    <mergeCell ref="C85:U85"/>
    <mergeCell ref="I42:J42"/>
    <mergeCell ref="K42:L42"/>
    <mergeCell ref="M54:O54"/>
    <mergeCell ref="P54:U54"/>
    <mergeCell ref="C82:G82"/>
    <mergeCell ref="H82:L82"/>
    <mergeCell ref="M82:O82"/>
    <mergeCell ref="P82:U82"/>
    <mergeCell ref="C83:H83"/>
    <mergeCell ref="C68:H68"/>
    <mergeCell ref="I68:T68"/>
    <mergeCell ref="C69:H69"/>
    <mergeCell ref="I69:T69"/>
    <mergeCell ref="H70:T70"/>
    <mergeCell ref="C72:U72"/>
    <mergeCell ref="O61:T61"/>
    <mergeCell ref="C62:G62"/>
    <mergeCell ref="Q63:U63"/>
    <mergeCell ref="D63:P63"/>
    <mergeCell ref="H62:P62"/>
    <mergeCell ref="Q62:U62"/>
    <mergeCell ref="L47:M47"/>
    <mergeCell ref="C48:F48"/>
    <mergeCell ref="H122:K122"/>
    <mergeCell ref="H123:T123"/>
    <mergeCell ref="C99:U99"/>
    <mergeCell ref="C113:G113"/>
    <mergeCell ref="H113:L113"/>
    <mergeCell ref="M113:O113"/>
    <mergeCell ref="P113:U113"/>
    <mergeCell ref="C106:T106"/>
    <mergeCell ref="C107:T107"/>
    <mergeCell ref="C108:T108"/>
    <mergeCell ref="C126:H126"/>
    <mergeCell ref="C127:H127"/>
    <mergeCell ref="I126:T126"/>
    <mergeCell ref="I127:T127"/>
    <mergeCell ref="C124:T124"/>
    <mergeCell ref="C125:I125"/>
    <mergeCell ref="N125:P125"/>
    <mergeCell ref="Q125:T125"/>
    <mergeCell ref="J125:L125"/>
    <mergeCell ref="W58:AE58"/>
    <mergeCell ref="D73:U73"/>
    <mergeCell ref="C92:U92"/>
    <mergeCell ref="C133:L133"/>
    <mergeCell ref="M133:U133"/>
    <mergeCell ref="C128:T128"/>
    <mergeCell ref="C130:U130"/>
    <mergeCell ref="C160:U160"/>
    <mergeCell ref="C101:U101"/>
    <mergeCell ref="C117:U117"/>
    <mergeCell ref="D118:T118"/>
    <mergeCell ref="C96:U96"/>
    <mergeCell ref="C97:U97"/>
    <mergeCell ref="C98:U98"/>
    <mergeCell ref="C91:U91"/>
    <mergeCell ref="B74:U74"/>
    <mergeCell ref="C75:U75"/>
    <mergeCell ref="C76:U76"/>
    <mergeCell ref="C77:U77"/>
    <mergeCell ref="C78:U78"/>
    <mergeCell ref="C81:U81"/>
    <mergeCell ref="C84:H84"/>
    <mergeCell ref="I84:L84"/>
    <mergeCell ref="C58:U58"/>
    <mergeCell ref="C61:N61"/>
    <mergeCell ref="L14:P14"/>
    <mergeCell ref="Q14:T14"/>
    <mergeCell ref="M15:T15"/>
    <mergeCell ref="O16:T16"/>
    <mergeCell ref="L16:N16"/>
    <mergeCell ref="C33:P33"/>
    <mergeCell ref="Q33:T33"/>
    <mergeCell ref="C56:U56"/>
    <mergeCell ref="C55:P55"/>
    <mergeCell ref="Q55:U55"/>
    <mergeCell ref="I53:N53"/>
    <mergeCell ref="Q53:U53"/>
    <mergeCell ref="P25:T29"/>
    <mergeCell ref="K31:N31"/>
    <mergeCell ref="C26:I26"/>
    <mergeCell ref="C27:I27"/>
    <mergeCell ref="C28:I28"/>
    <mergeCell ref="C60:U60"/>
    <mergeCell ref="I50:N50"/>
    <mergeCell ref="O50:U50"/>
    <mergeCell ref="C52:G52"/>
    <mergeCell ref="C57:U57"/>
    <mergeCell ref="C50:H50"/>
  </mergeCells>
  <hyperlinks>
    <hyperlink ref="C57" r:id="rId1"/>
  </hyperlinks>
  <pageMargins left="0.7" right="0.7" top="0.75" bottom="0.5" header="0.3" footer="0.3"/>
  <pageSetup orientation="portrait" r:id="rId2"/>
  <headerFooter>
    <oddFooter>&amp;C&amp;P</oddFooter>
  </headerFooter>
  <rowBreaks count="2" manualBreakCount="2">
    <brk id="51" max="16383" man="1"/>
    <brk id="81" max="16383" man="1"/>
  </rowBreaks>
</worksheet>
</file>

<file path=xl/worksheets/sheet5.xml><?xml version="1.0" encoding="utf-8"?>
<worksheet xmlns="http://schemas.openxmlformats.org/spreadsheetml/2006/main" xmlns:r="http://schemas.openxmlformats.org/officeDocument/2006/relationships">
  <sheetPr codeName="Sheet4"/>
  <dimension ref="A1:K88"/>
  <sheetViews>
    <sheetView topLeftCell="A10" zoomScale="90" zoomScaleNormal="90" workbookViewId="0">
      <selection activeCell="J33" sqref="J33"/>
    </sheetView>
  </sheetViews>
  <sheetFormatPr defaultRowHeight="12.75"/>
  <cols>
    <col min="1" max="1" width="14.5703125" customWidth="1"/>
    <col min="2" max="2" width="12.28515625" customWidth="1"/>
    <col min="3" max="3" width="9.28515625" customWidth="1"/>
    <col min="4" max="4" width="7.5703125" bestFit="1" customWidth="1"/>
    <col min="5" max="5" width="3.85546875" customWidth="1"/>
    <col min="6" max="6" width="6.5703125" customWidth="1"/>
    <col min="7" max="7" width="7.5703125" customWidth="1"/>
    <col min="8" max="8" width="7" bestFit="1" customWidth="1"/>
    <col min="9" max="9" width="27.42578125" customWidth="1"/>
    <col min="10" max="10" width="50.5703125" customWidth="1"/>
  </cols>
  <sheetData>
    <row r="1" spans="1:11">
      <c r="A1" s="181"/>
      <c r="B1" s="81"/>
      <c r="C1" s="81"/>
      <c r="D1" s="81"/>
      <c r="E1" s="81"/>
      <c r="F1" s="81"/>
      <c r="G1" s="81"/>
      <c r="H1" s="81"/>
      <c r="I1" s="81"/>
      <c r="J1" s="81"/>
    </row>
    <row r="2" spans="1:11" ht="15.75" customHeight="1">
      <c r="A2" s="1531" t="s">
        <v>82</v>
      </c>
      <c r="B2" s="916"/>
      <c r="C2" s="916"/>
      <c r="D2" s="916"/>
      <c r="E2" s="916"/>
      <c r="F2" s="916"/>
      <c r="G2" s="916"/>
      <c r="H2" s="916"/>
      <c r="I2" s="916"/>
      <c r="J2" s="22"/>
      <c r="K2" s="84"/>
    </row>
    <row r="3" spans="1:11" ht="15.75" customHeight="1">
      <c r="A3" s="1531" t="str">
        <f>County!D2&amp;" COUNTY"</f>
        <v>MARICOPA COUNTY</v>
      </c>
      <c r="B3" s="916"/>
      <c r="C3" s="916"/>
      <c r="D3" s="916"/>
      <c r="E3" s="916"/>
      <c r="F3" s="916"/>
      <c r="G3" s="916"/>
      <c r="H3" s="916"/>
      <c r="I3" s="916"/>
      <c r="J3" s="22"/>
      <c r="K3" s="84"/>
    </row>
    <row r="4" spans="1:11" ht="12.75" customHeight="1">
      <c r="A4" s="1819" t="str">
        <f>IF(NOT(ISBLANK(Worksheet!B34)),Worksheet!B34,"")</f>
        <v/>
      </c>
      <c r="B4" s="1819"/>
      <c r="C4" s="1819"/>
      <c r="D4" s="1819"/>
      <c r="E4" s="82"/>
      <c r="F4" s="82"/>
      <c r="G4" s="82"/>
      <c r="H4" s="82"/>
      <c r="I4" s="82"/>
      <c r="J4" s="22"/>
      <c r="K4" s="84"/>
    </row>
    <row r="5" spans="1:11" ht="12.75" customHeight="1">
      <c r="A5" s="1819"/>
      <c r="B5" s="1819"/>
      <c r="C5" s="1819"/>
      <c r="D5" s="1819"/>
      <c r="E5" s="227" t="str">
        <f>IF(NOT(ISBLANK(Worksheet!#REF!)),")","")</f>
        <v>)</v>
      </c>
      <c r="F5" s="82"/>
      <c r="G5" s="82"/>
      <c r="H5" s="82"/>
      <c r="I5" s="82"/>
      <c r="J5" s="22"/>
      <c r="K5" s="84"/>
    </row>
    <row r="6" spans="1:11" ht="12.75" customHeight="1">
      <c r="A6" s="1819"/>
      <c r="B6" s="1819"/>
      <c r="C6" s="1819"/>
      <c r="D6" s="1819"/>
      <c r="E6" s="77" t="s">
        <v>83</v>
      </c>
      <c r="F6" s="76"/>
      <c r="G6" s="76"/>
      <c r="H6" s="76"/>
      <c r="I6" s="76"/>
      <c r="J6" s="22"/>
      <c r="K6" s="84"/>
    </row>
    <row r="7" spans="1:11" ht="15.75" customHeight="1">
      <c r="A7" s="1820" t="str">
        <f>IF(NOT(ISBLANK(Worksheet!T10)),"("&amp;Worksheet!F12&amp;")",IF(NOT(ISBLANK(Worksheet!F12)),Worksheet!F12,""))</f>
        <v/>
      </c>
      <c r="B7" s="1608"/>
      <c r="C7" s="1608"/>
      <c r="D7" s="1608"/>
      <c r="E7" s="78" t="s">
        <v>83</v>
      </c>
      <c r="F7" s="1816" t="s">
        <v>90</v>
      </c>
      <c r="G7" s="882" t="s">
        <v>84</v>
      </c>
      <c r="H7" s="1818"/>
      <c r="I7" s="1615" t="str">
        <f>IF(ISBLANK(Worksheet!S34),"",Worksheet!S34)</f>
        <v/>
      </c>
      <c r="J7" s="22"/>
      <c r="K7" s="84"/>
    </row>
    <row r="8" spans="1:11" ht="12.75" customHeight="1">
      <c r="A8" s="1821"/>
      <c r="B8" s="1776"/>
      <c r="C8" s="1775" t="s">
        <v>252</v>
      </c>
      <c r="D8" s="1776"/>
      <c r="E8" s="21" t="s">
        <v>83</v>
      </c>
      <c r="F8" s="1816"/>
      <c r="G8" s="1818"/>
      <c r="H8" s="1818"/>
      <c r="I8" s="1817"/>
      <c r="J8" s="22"/>
      <c r="K8" s="84"/>
    </row>
    <row r="9" spans="1:11">
      <c r="A9" s="1023"/>
      <c r="B9" s="916"/>
      <c r="C9" s="916"/>
      <c r="D9" s="916"/>
      <c r="E9" s="21" t="s">
        <v>83</v>
      </c>
      <c r="F9" s="20"/>
      <c r="G9" s="307"/>
      <c r="H9" s="76"/>
      <c r="I9" s="555"/>
      <c r="J9" s="22"/>
      <c r="K9" s="84"/>
    </row>
    <row r="10" spans="1:11" ht="12.75" customHeight="1">
      <c r="A10" s="1822" t="s">
        <v>85</v>
      </c>
      <c r="B10" s="1822"/>
      <c r="C10" s="1822"/>
      <c r="D10" s="916"/>
      <c r="E10" s="21" t="s">
        <v>83</v>
      </c>
      <c r="F10" s="1816" t="s">
        <v>91</v>
      </c>
      <c r="G10" s="882" t="s">
        <v>92</v>
      </c>
      <c r="H10" s="1153"/>
      <c r="I10" s="1823" t="str">
        <f>IF(ISBLANK(Worksheet!I242),"",Worksheet!I242)</f>
        <v/>
      </c>
      <c r="J10" s="22"/>
      <c r="K10" s="79"/>
    </row>
    <row r="11" spans="1:11" ht="12.75" customHeight="1">
      <c r="A11" s="1606" t="str">
        <f>IF(NOT(ISBLANK(Worksheet!B40)),Worksheet!B40,"")</f>
        <v/>
      </c>
      <c r="B11" s="1809"/>
      <c r="C11" s="1809"/>
      <c r="D11" s="1825"/>
      <c r="E11" s="21" t="s">
        <v>83</v>
      </c>
      <c r="F11" s="1816"/>
      <c r="G11" s="1153"/>
      <c r="H11" s="1153"/>
      <c r="I11" s="1824"/>
      <c r="J11" s="22"/>
      <c r="K11" s="84"/>
    </row>
    <row r="12" spans="1:11" ht="12.75" customHeight="1">
      <c r="A12" s="1809"/>
      <c r="B12" s="1809"/>
      <c r="C12" s="1809"/>
      <c r="D12" s="1825"/>
      <c r="E12" s="21" t="s">
        <v>83</v>
      </c>
      <c r="F12" s="76"/>
      <c r="G12" s="76"/>
      <c r="H12" s="81"/>
      <c r="I12" s="81"/>
      <c r="J12" s="22"/>
      <c r="K12" s="84"/>
    </row>
    <row r="13" spans="1:11" ht="15.75" customHeight="1">
      <c r="A13" s="1826"/>
      <c r="B13" s="1826"/>
      <c r="C13" s="1826"/>
      <c r="D13" s="1608"/>
      <c r="E13" s="80" t="s">
        <v>83</v>
      </c>
      <c r="F13" s="81"/>
      <c r="G13" s="1827" t="s">
        <v>86</v>
      </c>
      <c r="H13" s="1153"/>
      <c r="I13" s="1153"/>
      <c r="J13" s="83"/>
      <c r="K13" s="84"/>
    </row>
    <row r="14" spans="1:11" ht="15.75" customHeight="1">
      <c r="A14" s="1777"/>
      <c r="B14" s="1778"/>
      <c r="C14" s="1803" t="s">
        <v>239</v>
      </c>
      <c r="D14" s="1804"/>
      <c r="E14" s="21" t="s">
        <v>83</v>
      </c>
      <c r="F14" s="81"/>
      <c r="G14" s="1828" t="s">
        <v>93</v>
      </c>
      <c r="H14" s="1153"/>
      <c r="I14" s="1153"/>
      <c r="J14" s="83"/>
      <c r="K14" s="84"/>
    </row>
    <row r="15" spans="1:11">
      <c r="A15" s="76"/>
      <c r="B15" s="76"/>
      <c r="C15" s="75"/>
      <c r="D15" s="75"/>
      <c r="E15" s="75"/>
      <c r="F15" s="81"/>
      <c r="G15" s="81"/>
      <c r="H15" s="81"/>
      <c r="I15" s="86"/>
      <c r="J15" s="95"/>
      <c r="K15" s="84"/>
    </row>
    <row r="16" spans="1:11" ht="15">
      <c r="A16" s="1614" t="s">
        <v>96</v>
      </c>
      <c r="B16" s="1614"/>
      <c r="C16" s="1614"/>
      <c r="D16" s="1614"/>
      <c r="E16" s="1614"/>
      <c r="F16" s="1614"/>
      <c r="G16" s="1614"/>
      <c r="H16" s="1614"/>
      <c r="I16" s="1614"/>
      <c r="J16" s="22"/>
      <c r="K16" s="84"/>
    </row>
    <row r="17" spans="1:11" ht="15">
      <c r="A17" s="424" t="s">
        <v>181</v>
      </c>
      <c r="B17" s="1773"/>
      <c r="C17" s="1774"/>
      <c r="D17" s="1774"/>
      <c r="E17" s="1774"/>
      <c r="F17" s="1774"/>
      <c r="G17" s="76"/>
      <c r="H17" s="291" t="str">
        <f>IF(NOT(ISBLANK(I17)),".","")</f>
        <v/>
      </c>
      <c r="I17" s="290"/>
      <c r="J17" s="22"/>
      <c r="K17" s="84"/>
    </row>
    <row r="18" spans="1:11" ht="15">
      <c r="A18" s="222" t="s">
        <v>166</v>
      </c>
      <c r="B18" s="1832" t="str">
        <f>IF(NOT(ISBLANK(B17)),B17,IF(AND(Worksheet!B81="Final Child Support Obligation Payable By Father:",NOT(ISBLANK(Worksheet!T12))),Worksheet!F12,IF(AND(Worksheet!B81="Final Child Support Obligation Payable By Mother:",NOT(ISBLANK(Worksheet!T12))),Worksheet!F14,IF(AND(Worksheet!B81="Final Child Support Obligation Payable By Father:",ISBLANK(Worksheet!T12)),Worksheet!F14,IF(AND(Worksheet!B81="Final Child Support Obligation Payable By Mother:",ISBLANK(Worksheet!T12)),Worksheet!F12,"")))))</f>
        <v/>
      </c>
      <c r="C18" s="1832"/>
      <c r="D18" s="1832"/>
      <c r="E18" s="1832"/>
      <c r="F18" s="556"/>
      <c r="G18" s="547" t="s">
        <v>167</v>
      </c>
      <c r="H18" s="1815" t="str">
        <f>IF(ISNUMBER(I17),I17,IF(ISNUMBER(Worksheet!I235),Worksheet!I235,""))</f>
        <v/>
      </c>
      <c r="I18" s="984"/>
      <c r="J18" s="22"/>
    </row>
    <row r="19" spans="1:11" ht="12.75" customHeight="1">
      <c r="A19" s="87"/>
      <c r="B19" s="23"/>
      <c r="C19" s="88"/>
      <c r="D19" s="88"/>
      <c r="E19" s="88"/>
      <c r="F19" s="88"/>
      <c r="G19" s="88"/>
      <c r="H19" s="19"/>
      <c r="I19" s="88"/>
      <c r="J19" s="22"/>
      <c r="K19" s="84"/>
    </row>
    <row r="20" spans="1:11" ht="15">
      <c r="A20" s="1833" t="s">
        <v>99</v>
      </c>
      <c r="B20" s="1834"/>
      <c r="C20" s="1834"/>
      <c r="D20" s="1834"/>
      <c r="E20" s="1834"/>
      <c r="F20" s="1834"/>
      <c r="G20" s="1834"/>
      <c r="H20" s="1834"/>
      <c r="I20" s="1834"/>
      <c r="J20" s="22"/>
      <c r="K20" s="84"/>
    </row>
    <row r="21" spans="1:11">
      <c r="A21" s="76"/>
      <c r="B21" s="1024"/>
      <c r="C21" s="1024"/>
      <c r="D21" s="24"/>
      <c r="E21" s="76"/>
      <c r="F21" s="76"/>
      <c r="G21" s="76"/>
      <c r="H21" s="76"/>
      <c r="I21" s="76"/>
      <c r="J21" s="22"/>
      <c r="K21" s="84"/>
    </row>
    <row r="22" spans="1:11">
      <c r="A22" s="76"/>
      <c r="B22" s="944" t="s">
        <v>87</v>
      </c>
      <c r="C22" s="944"/>
      <c r="D22" s="945"/>
      <c r="E22" s="945"/>
      <c r="F22" s="1829" t="str">
        <f>IF(ISNUMBER(Worksheet!R118),Worksheet!R118,"")</f>
        <v/>
      </c>
      <c r="G22" s="1829"/>
      <c r="H22" s="76"/>
      <c r="I22" s="76"/>
      <c r="J22" s="22"/>
      <c r="K22" s="85"/>
    </row>
    <row r="23" spans="1:11" s="476" customFormat="1">
      <c r="A23" s="468"/>
      <c r="B23" s="1442" t="s">
        <v>98</v>
      </c>
      <c r="C23" s="945"/>
      <c r="D23" s="945"/>
      <c r="E23" s="945"/>
      <c r="F23" s="1835" t="str">
        <f>IF(OR(ISNUMBER(Worksheet!R119),ISNUMBER(Worksheet!R120),ISNUMBER(Worksheet!R121)),Worksheet!R119+Worksheet!R120+Worksheet!R121,"")</f>
        <v/>
      </c>
      <c r="G23" s="1835"/>
      <c r="H23" s="468"/>
      <c r="I23" s="468"/>
      <c r="J23" s="461"/>
      <c r="K23" s="85"/>
    </row>
    <row r="24" spans="1:11">
      <c r="A24" s="76"/>
      <c r="B24" s="944" t="s">
        <v>97</v>
      </c>
      <c r="C24" s="944"/>
      <c r="D24" s="945"/>
      <c r="E24" s="945"/>
      <c r="F24" s="1772" t="str">
        <f>IF(ISNUMBER(Worksheet!R122),Worksheet!R122,"")</f>
        <v/>
      </c>
      <c r="G24" s="1772"/>
      <c r="H24" s="1830"/>
      <c r="I24" s="1831"/>
      <c r="J24" s="22"/>
      <c r="K24" s="85"/>
    </row>
    <row r="25" spans="1:11">
      <c r="A25" s="76"/>
      <c r="B25" s="1771" t="s">
        <v>320</v>
      </c>
      <c r="C25" s="1442"/>
      <c r="D25" s="1442"/>
      <c r="E25" s="1332"/>
      <c r="F25" s="1772" t="str">
        <f>IF(ISNUMBER(Worksheet!R123),Worksheet!R123,"")</f>
        <v/>
      </c>
      <c r="G25" s="1772"/>
      <c r="H25" s="76"/>
      <c r="I25" s="76"/>
      <c r="J25" s="22"/>
      <c r="K25" s="84"/>
    </row>
    <row r="26" spans="1:11" s="711" customFormat="1">
      <c r="A26" s="710"/>
      <c r="B26" s="1771" t="s">
        <v>559</v>
      </c>
      <c r="C26" s="1153"/>
      <c r="D26" s="1153"/>
      <c r="E26" s="1153"/>
      <c r="F26" s="1772">
        <f>IF(ISNUMBER(Worksheet!R124),Worksheet!R124,"")</f>
        <v>0</v>
      </c>
      <c r="G26" s="1772"/>
      <c r="H26" s="710"/>
      <c r="I26" s="710"/>
      <c r="J26" s="698"/>
      <c r="K26" s="84"/>
    </row>
    <row r="27" spans="1:11">
      <c r="A27" s="76"/>
      <c r="B27" s="944" t="s">
        <v>88</v>
      </c>
      <c r="C27" s="944"/>
      <c r="D27" s="945"/>
      <c r="E27" s="945"/>
      <c r="F27" s="1772">
        <f>IF(ISNUMBER(Worksheet!R125),Worksheet!R125,"")</f>
        <v>5</v>
      </c>
      <c r="G27" s="1772"/>
      <c r="H27" s="1022" t="s">
        <v>94</v>
      </c>
      <c r="I27" s="1022"/>
      <c r="J27" s="22"/>
      <c r="K27" s="84"/>
    </row>
    <row r="28" spans="1:11">
      <c r="A28" s="76"/>
      <c r="B28" s="944"/>
      <c r="C28" s="944"/>
      <c r="D28" s="945"/>
      <c r="E28" s="945"/>
      <c r="F28" s="90"/>
      <c r="G28" s="90"/>
      <c r="H28" s="76"/>
      <c r="I28" s="76"/>
      <c r="J28" s="22"/>
      <c r="K28" s="84"/>
    </row>
    <row r="29" spans="1:11" ht="13.5" thickBot="1">
      <c r="A29" s="76"/>
      <c r="B29" s="1782" t="s">
        <v>100</v>
      </c>
      <c r="C29" s="1783"/>
      <c r="D29" s="916"/>
      <c r="E29" s="916"/>
      <c r="F29" s="1790" t="str">
        <f>IF(SUM(F22:F27)=F27,"",SUM(F22:F27))</f>
        <v/>
      </c>
      <c r="G29" s="1791"/>
      <c r="H29" s="1022" t="s">
        <v>164</v>
      </c>
      <c r="I29" s="1022"/>
      <c r="J29" s="22"/>
      <c r="K29" s="84"/>
    </row>
    <row r="30" spans="1:11" ht="43.5" customHeight="1" thickTop="1">
      <c r="A30" s="1812" t="s">
        <v>282</v>
      </c>
      <c r="B30" s="1813"/>
      <c r="C30" s="1813"/>
      <c r="D30" s="1813"/>
      <c r="E30" s="1813"/>
      <c r="F30" s="1813"/>
      <c r="G30" s="1813"/>
      <c r="H30" s="1813"/>
      <c r="I30" s="1813"/>
      <c r="J30" s="22"/>
      <c r="K30" s="84"/>
    </row>
    <row r="31" spans="1:11" ht="12.75" customHeight="1">
      <c r="A31" s="76"/>
      <c r="B31" s="89"/>
      <c r="C31" s="89"/>
      <c r="D31" s="89"/>
      <c r="E31" s="89"/>
      <c r="F31" s="89"/>
      <c r="G31" s="89"/>
      <c r="H31" s="89"/>
      <c r="I31" s="89"/>
      <c r="J31" s="22"/>
      <c r="K31" s="84"/>
    </row>
    <row r="32" spans="1:11" ht="77.25" customHeight="1">
      <c r="A32" s="1544" t="s">
        <v>101</v>
      </c>
      <c r="B32" s="1544"/>
      <c r="C32" s="1544"/>
      <c r="D32" s="1544"/>
      <c r="E32" s="1544"/>
      <c r="F32" s="1544"/>
      <c r="G32" s="1544"/>
      <c r="H32" s="1544"/>
      <c r="I32" s="1544"/>
      <c r="J32" s="22"/>
      <c r="K32" s="84"/>
    </row>
    <row r="33" spans="1:11" ht="12.75" customHeight="1">
      <c r="A33" s="91"/>
      <c r="B33" s="91"/>
      <c r="C33" s="551" t="str">
        <f>IF(NOT(ISBLANK(D33)),".","")</f>
        <v/>
      </c>
      <c r="D33" s="1807"/>
      <c r="E33" s="1808"/>
      <c r="F33" s="1808"/>
      <c r="G33" s="550"/>
      <c r="H33" s="1806" t="str">
        <f>IF(NOT(ISBLANK(G33)),".","")</f>
        <v/>
      </c>
      <c r="I33" s="1806"/>
      <c r="J33" s="549"/>
      <c r="K33" s="85"/>
    </row>
    <row r="34" spans="1:11" ht="12.75" customHeight="1">
      <c r="A34" s="1544" t="s">
        <v>95</v>
      </c>
      <c r="B34" s="1544"/>
      <c r="C34" s="1544"/>
      <c r="D34" s="1810" t="str">
        <f ca="1">IF(NOT(ISBLANK(Worksheet!J245)),Worksheet!J245,IF(NOT(ISBLANK(D33)),D33,IF(Worksheet!V43="Calculate","",Worksheet!V43)))</f>
        <v/>
      </c>
      <c r="E34" s="1811"/>
      <c r="F34" s="1811"/>
      <c r="G34" s="110" t="str">
        <f ca="1">IF(NOT(ISBLANK(Worksheet!O245)),Worksheet!O245,IF(NOT(ISBLANK(G33)),G33,Worksheet!Z43))</f>
        <v/>
      </c>
      <c r="H34" s="1809" t="s">
        <v>173</v>
      </c>
      <c r="I34" s="916"/>
      <c r="J34" s="96"/>
      <c r="K34" s="85"/>
    </row>
    <row r="35" spans="1:11" ht="12.75" customHeight="1">
      <c r="A35" s="1544" t="s">
        <v>172</v>
      </c>
      <c r="B35" s="1798"/>
      <c r="C35" s="1798"/>
      <c r="D35" s="1798"/>
      <c r="E35" s="1798"/>
      <c r="F35" s="1798"/>
      <c r="G35" s="1798"/>
      <c r="H35" s="1798"/>
      <c r="I35" s="1798"/>
      <c r="J35" s="22"/>
      <c r="K35" s="85"/>
    </row>
    <row r="36" spans="1:11" ht="12.75" customHeight="1">
      <c r="A36" s="91"/>
      <c r="B36" s="92"/>
      <c r="C36" s="92"/>
      <c r="D36" s="92"/>
      <c r="E36" s="92"/>
      <c r="F36" s="92"/>
      <c r="G36" s="92"/>
      <c r="H36" s="92"/>
      <c r="I36" s="525"/>
      <c r="J36" s="22"/>
      <c r="K36" s="85"/>
    </row>
    <row r="37" spans="1:11" ht="12.75" customHeight="1">
      <c r="A37" s="1539" t="s">
        <v>102</v>
      </c>
      <c r="B37" s="1798"/>
      <c r="C37" s="1798"/>
      <c r="D37" s="1792" t="s">
        <v>103</v>
      </c>
      <c r="E37" s="1792"/>
      <c r="F37" s="1792"/>
      <c r="G37" s="1792"/>
      <c r="H37" s="1792"/>
      <c r="I37" s="522"/>
      <c r="J37" s="22"/>
      <c r="K37" s="85"/>
    </row>
    <row r="38" spans="1:11" ht="12.75" customHeight="1">
      <c r="A38" s="93"/>
      <c r="B38" s="92"/>
      <c r="C38" s="92"/>
      <c r="D38" s="1792" t="s">
        <v>104</v>
      </c>
      <c r="E38" s="1792"/>
      <c r="F38" s="1792"/>
      <c r="G38" s="1792"/>
      <c r="H38" s="1792"/>
      <c r="I38" s="522"/>
      <c r="J38" s="22"/>
      <c r="K38" s="85"/>
    </row>
    <row r="39" spans="1:11" ht="12.75" customHeight="1">
      <c r="A39" s="93"/>
      <c r="B39" s="92"/>
      <c r="C39" s="92"/>
      <c r="D39" s="1792" t="s">
        <v>105</v>
      </c>
      <c r="E39" s="1792"/>
      <c r="F39" s="1792"/>
      <c r="G39" s="1792"/>
      <c r="H39" s="1792"/>
      <c r="I39" s="522"/>
      <c r="J39" s="22"/>
      <c r="K39" s="85"/>
    </row>
    <row r="40" spans="1:11">
      <c r="A40" s="76"/>
      <c r="B40" s="76"/>
      <c r="C40" s="76"/>
      <c r="D40" s="76"/>
      <c r="E40" s="76"/>
      <c r="F40" s="76"/>
      <c r="G40" s="76"/>
      <c r="H40" s="76"/>
      <c r="I40" s="523"/>
      <c r="J40" s="22"/>
      <c r="K40" s="85"/>
    </row>
    <row r="41" spans="1:11" ht="40.5" customHeight="1">
      <c r="A41" s="882" t="s">
        <v>106</v>
      </c>
      <c r="B41" s="882"/>
      <c r="C41" s="882"/>
      <c r="D41" s="882"/>
      <c r="E41" s="882"/>
      <c r="F41" s="882"/>
      <c r="G41" s="882"/>
      <c r="H41" s="882"/>
      <c r="I41" s="882"/>
      <c r="J41" s="22"/>
      <c r="K41" s="84"/>
    </row>
    <row r="42" spans="1:11">
      <c r="A42" s="76"/>
      <c r="B42" s="76"/>
      <c r="C42" s="76"/>
      <c r="D42" s="76"/>
      <c r="E42" s="76"/>
      <c r="F42" s="76"/>
      <c r="G42" s="76"/>
      <c r="H42" s="76"/>
      <c r="I42" s="76"/>
      <c r="J42" s="22"/>
      <c r="K42" s="84"/>
    </row>
    <row r="43" spans="1:11">
      <c r="A43" s="202" t="str">
        <f>IF(NOT(ISBLANK(A44)),".","")</f>
        <v/>
      </c>
      <c r="B43" s="20"/>
      <c r="C43" s="20"/>
      <c r="D43" s="20"/>
      <c r="E43" s="20"/>
      <c r="F43" s="20"/>
      <c r="G43" s="20"/>
      <c r="H43" s="20"/>
      <c r="I43" s="20"/>
      <c r="J43" s="22"/>
      <c r="K43" s="84"/>
    </row>
    <row r="44" spans="1:11">
      <c r="A44" s="1023"/>
      <c r="B44" s="1023"/>
      <c r="C44" s="1023"/>
      <c r="D44" s="20"/>
      <c r="E44" s="20"/>
      <c r="F44" s="20"/>
      <c r="G44" s="20"/>
      <c r="H44" s="20"/>
      <c r="I44" s="20"/>
      <c r="J44" s="22"/>
      <c r="K44" s="84"/>
    </row>
    <row r="45" spans="1:11">
      <c r="A45" s="1836">
        <f ca="1">IF(ISNUMBER(Worksheet!J173),Worksheet!J173,Worksheet!L32)</f>
        <v>42187</v>
      </c>
      <c r="B45" s="1836"/>
      <c r="C45" s="1837"/>
      <c r="D45" s="104"/>
      <c r="E45" s="20"/>
      <c r="F45" s="94"/>
      <c r="G45" s="94"/>
      <c r="H45" s="94"/>
      <c r="I45" s="94"/>
      <c r="J45" s="22"/>
      <c r="K45" s="84"/>
    </row>
    <row r="46" spans="1:11">
      <c r="A46" s="1786" t="s">
        <v>107</v>
      </c>
      <c r="B46" s="1786"/>
      <c r="C46" s="218"/>
      <c r="D46" s="102"/>
      <c r="E46" s="20"/>
      <c r="F46" s="1166" t="s">
        <v>108</v>
      </c>
      <c r="G46" s="1166"/>
      <c r="H46" s="1166"/>
      <c r="I46" s="1166"/>
      <c r="J46" s="22"/>
      <c r="K46" s="84"/>
    </row>
    <row r="47" spans="1:11">
      <c r="A47" s="81"/>
      <c r="B47" s="81"/>
      <c r="C47" s="81"/>
      <c r="D47" s="81"/>
      <c r="E47" s="81"/>
      <c r="F47" s="81"/>
      <c r="G47" s="81"/>
      <c r="H47" s="81"/>
      <c r="I47" s="81"/>
      <c r="J47" s="22"/>
      <c r="K47" s="84"/>
    </row>
    <row r="48" spans="1:11">
      <c r="A48" s="81"/>
      <c r="B48" s="81"/>
      <c r="C48" s="81"/>
      <c r="D48" s="81"/>
      <c r="E48" s="81"/>
      <c r="F48" s="81"/>
      <c r="G48" s="81"/>
      <c r="H48" s="81"/>
      <c r="I48" s="81"/>
    </row>
    <row r="49" spans="1:9">
      <c r="A49" s="1787" t="s">
        <v>184</v>
      </c>
      <c r="B49" s="1787"/>
      <c r="C49" s="1787"/>
      <c r="D49" s="1787"/>
      <c r="E49" s="1787"/>
      <c r="F49" s="1787"/>
      <c r="G49" s="1787"/>
      <c r="H49" s="1787"/>
      <c r="I49" s="1787"/>
    </row>
    <row r="50" spans="1:9">
      <c r="A50" s="1288" t="s">
        <v>185</v>
      </c>
      <c r="B50" s="1288"/>
      <c r="C50" s="1288"/>
      <c r="D50" s="1288"/>
      <c r="E50" s="1288"/>
      <c r="F50" s="1288"/>
      <c r="G50" s="1288"/>
      <c r="H50" s="1288"/>
      <c r="I50" s="1288"/>
    </row>
    <row r="51" spans="1:9">
      <c r="A51" s="1788" t="s">
        <v>186</v>
      </c>
      <c r="B51" s="1288"/>
      <c r="C51" s="1288"/>
      <c r="D51" s="1288"/>
      <c r="E51" s="1288"/>
      <c r="F51" s="1288"/>
      <c r="G51" s="1288"/>
      <c r="H51" s="1288"/>
      <c r="I51" s="1288"/>
    </row>
    <row r="52" spans="1:9">
      <c r="A52" s="81"/>
      <c r="B52" s="81"/>
      <c r="C52" s="81"/>
      <c r="D52" s="81"/>
      <c r="E52" s="81"/>
      <c r="F52" s="81"/>
      <c r="G52" s="81"/>
      <c r="H52" s="81"/>
      <c r="I52" s="81"/>
    </row>
    <row r="53" spans="1:9">
      <c r="A53" s="214" t="s">
        <v>187</v>
      </c>
      <c r="B53" s="1789" t="str">
        <f>IF(ISBLANK(Worksheet!F10),"",Worksheet!F10)</f>
        <v/>
      </c>
      <c r="C53" s="1789"/>
      <c r="D53" s="81"/>
      <c r="E53" s="214" t="s">
        <v>188</v>
      </c>
      <c r="F53" s="81"/>
      <c r="G53" s="81"/>
      <c r="H53" s="1814" t="str">
        <f>IF(ISBLANK(Worksheet!I242),"",Worksheet!I242)</f>
        <v/>
      </c>
      <c r="I53" s="1814"/>
    </row>
    <row r="54" spans="1:9">
      <c r="A54" s="81"/>
      <c r="B54" s="81"/>
      <c r="C54" s="81"/>
      <c r="D54" s="81"/>
      <c r="E54" s="81"/>
      <c r="F54" s="81"/>
      <c r="G54" s="81"/>
      <c r="H54" s="81"/>
      <c r="I54" s="81"/>
    </row>
    <row r="55" spans="1:9">
      <c r="A55" s="214" t="s">
        <v>189</v>
      </c>
      <c r="B55" s="1814" t="str">
        <f>IF(ISBLANK($B$18),"",$B$18)</f>
        <v/>
      </c>
      <c r="C55" s="1814"/>
      <c r="D55" s="1814"/>
      <c r="E55" s="214"/>
      <c r="F55" s="81"/>
      <c r="G55" s="214" t="s">
        <v>183</v>
      </c>
      <c r="H55" s="1805" t="str">
        <f>IF(ISBLANK(Worksheet!I235),"",Worksheet!I235)</f>
        <v/>
      </c>
      <c r="I55" s="1805"/>
    </row>
    <row r="56" spans="1:9">
      <c r="A56" s="215" t="s">
        <v>190</v>
      </c>
      <c r="B56" s="81"/>
      <c r="C56" s="81"/>
      <c r="D56" s="81"/>
      <c r="E56" s="81"/>
      <c r="F56" s="81"/>
      <c r="G56" s="81"/>
      <c r="H56" s="81"/>
      <c r="I56" s="81"/>
    </row>
    <row r="57" spans="1:9">
      <c r="A57" s="81"/>
      <c r="B57" s="81"/>
      <c r="C57" s="81"/>
      <c r="D57" s="81"/>
      <c r="E57" s="81"/>
      <c r="F57" s="81"/>
      <c r="G57" s="81"/>
      <c r="H57" s="81"/>
      <c r="I57" s="81"/>
    </row>
    <row r="58" spans="1:9">
      <c r="A58" s="1793" t="s">
        <v>398</v>
      </c>
      <c r="B58" s="1794"/>
      <c r="C58" s="1794"/>
      <c r="D58" s="1794"/>
      <c r="E58" s="1794"/>
      <c r="F58" s="1794"/>
      <c r="G58" s="1794"/>
      <c r="H58" s="1794"/>
      <c r="I58" s="1794"/>
    </row>
    <row r="59" spans="1:9">
      <c r="A59" s="1794"/>
      <c r="B59" s="1794"/>
      <c r="C59" s="1794"/>
      <c r="D59" s="1794"/>
      <c r="E59" s="1794"/>
      <c r="F59" s="1794"/>
      <c r="G59" s="1794"/>
      <c r="H59" s="1794"/>
      <c r="I59" s="1794"/>
    </row>
    <row r="60" spans="1:9">
      <c r="A60" s="81"/>
      <c r="B60" s="81"/>
      <c r="C60" s="81"/>
      <c r="D60" s="81"/>
      <c r="E60" s="81"/>
      <c r="F60" s="81"/>
      <c r="G60" s="81"/>
      <c r="H60" s="81"/>
      <c r="I60" s="81"/>
    </row>
    <row r="61" spans="1:9" ht="15.75">
      <c r="A61" s="1784" t="s">
        <v>399</v>
      </c>
      <c r="B61" s="1784"/>
      <c r="C61" s="1785"/>
      <c r="D61" s="1785"/>
      <c r="E61" s="1785"/>
      <c r="F61" s="1785"/>
      <c r="G61" s="1785"/>
      <c r="H61" s="1785"/>
      <c r="I61" s="1785"/>
    </row>
    <row r="62" spans="1:9" ht="15">
      <c r="A62" s="595"/>
      <c r="B62" s="595"/>
      <c r="C62" s="596"/>
      <c r="D62" s="596"/>
      <c r="E62" s="596"/>
      <c r="F62" s="596"/>
      <c r="G62" s="596"/>
      <c r="H62" s="596"/>
      <c r="I62" s="596"/>
    </row>
    <row r="63" spans="1:9" ht="15.75">
      <c r="A63" s="1784" t="s">
        <v>403</v>
      </c>
      <c r="B63" s="1784"/>
      <c r="C63" s="1785"/>
      <c r="D63" s="1785"/>
      <c r="E63" s="1785"/>
      <c r="F63" s="1785"/>
      <c r="G63" s="1785"/>
      <c r="H63" s="1785"/>
      <c r="I63" s="1785"/>
    </row>
    <row r="64" spans="1:9" ht="15">
      <c r="A64" s="595"/>
      <c r="B64" s="595"/>
      <c r="C64" s="1797"/>
      <c r="D64" s="1797"/>
      <c r="E64" s="1797"/>
      <c r="F64" s="1797"/>
      <c r="G64" s="1797"/>
      <c r="H64" s="1797"/>
      <c r="I64" s="1797"/>
    </row>
    <row r="65" spans="1:9" ht="15.75">
      <c r="A65" s="1784" t="s">
        <v>404</v>
      </c>
      <c r="B65" s="1800"/>
      <c r="C65" s="1799"/>
      <c r="D65" s="1799"/>
      <c r="E65" s="1799"/>
      <c r="F65" s="1799"/>
      <c r="G65" s="1799"/>
      <c r="H65" s="1799"/>
      <c r="I65" s="603"/>
    </row>
    <row r="66" spans="1:9" s="593" customFormat="1" ht="15.75">
      <c r="A66" s="597"/>
      <c r="B66" s="598"/>
      <c r="C66" s="599" t="s">
        <v>400</v>
      </c>
      <c r="D66" s="600"/>
      <c r="E66" s="599"/>
      <c r="F66" s="599"/>
      <c r="G66" s="599" t="s">
        <v>401</v>
      </c>
      <c r="H66" s="601"/>
      <c r="I66" s="599" t="s">
        <v>402</v>
      </c>
    </row>
    <row r="67" spans="1:9" s="593" customFormat="1" ht="15.75">
      <c r="A67" s="597"/>
      <c r="B67" s="598"/>
      <c r="C67" s="599"/>
      <c r="D67" s="600"/>
      <c r="E67" s="599"/>
      <c r="F67" s="599"/>
      <c r="G67" s="599"/>
      <c r="H67" s="601"/>
      <c r="I67" s="599"/>
    </row>
    <row r="68" spans="1:9" s="593" customFormat="1" ht="15.75">
      <c r="A68" s="1784" t="s">
        <v>405</v>
      </c>
      <c r="B68" s="1800"/>
      <c r="C68" s="1801"/>
      <c r="D68" s="1802"/>
      <c r="E68" s="1802"/>
      <c r="F68" s="1802"/>
      <c r="G68" s="1802"/>
      <c r="H68" s="601"/>
      <c r="I68" s="599"/>
    </row>
    <row r="69" spans="1:9" ht="15.75">
      <c r="A69" s="602"/>
      <c r="B69" s="602"/>
      <c r="C69" s="600"/>
      <c r="D69" s="600"/>
      <c r="E69" s="600"/>
      <c r="F69" s="600"/>
      <c r="G69" s="600"/>
      <c r="H69" s="596"/>
      <c r="I69" s="596"/>
    </row>
    <row r="70" spans="1:9" ht="15.75">
      <c r="A70" s="1784" t="s">
        <v>406</v>
      </c>
      <c r="B70" s="1784"/>
      <c r="C70" s="1801"/>
      <c r="D70" s="1802"/>
      <c r="E70" s="1802"/>
      <c r="F70" s="1802"/>
      <c r="G70" s="1802"/>
      <c r="H70" s="596"/>
      <c r="I70" s="596"/>
    </row>
    <row r="71" spans="1:9" ht="15">
      <c r="A71" s="596"/>
      <c r="B71" s="596"/>
      <c r="C71" s="596"/>
      <c r="D71" s="596"/>
      <c r="E71" s="596"/>
      <c r="F71" s="596"/>
      <c r="G71" s="596"/>
      <c r="H71" s="596"/>
      <c r="I71" s="596"/>
    </row>
    <row r="72" spans="1:9">
      <c r="A72" s="1781"/>
      <c r="B72" s="1781"/>
      <c r="C72" s="1780"/>
      <c r="D72" s="1780"/>
      <c r="E72" s="1780"/>
      <c r="F72" s="81"/>
      <c r="G72" s="81"/>
      <c r="H72" s="81"/>
      <c r="I72" s="81"/>
    </row>
    <row r="73" spans="1:9">
      <c r="A73" s="81"/>
      <c r="B73" s="81"/>
      <c r="C73" s="81"/>
      <c r="D73" s="81"/>
      <c r="E73" s="81"/>
      <c r="F73" s="81"/>
      <c r="G73" s="81"/>
      <c r="H73" s="81"/>
      <c r="I73" s="81"/>
    </row>
    <row r="74" spans="1:9">
      <c r="A74" s="81"/>
      <c r="B74" s="81"/>
      <c r="C74" s="81"/>
      <c r="D74" s="81"/>
      <c r="E74" s="81"/>
      <c r="F74" s="81"/>
      <c r="G74" s="81"/>
      <c r="H74" s="81"/>
      <c r="I74" s="81"/>
    </row>
    <row r="75" spans="1:9">
      <c r="A75" s="81"/>
      <c r="B75" s="81"/>
      <c r="C75" s="81"/>
      <c r="D75" s="81"/>
      <c r="E75" s="81"/>
      <c r="F75" s="81"/>
      <c r="G75" s="81"/>
      <c r="H75" s="81"/>
      <c r="I75" s="81"/>
    </row>
    <row r="76" spans="1:9">
      <c r="A76" s="81"/>
      <c r="B76" s="81"/>
      <c r="C76" s="81"/>
      <c r="D76" s="81"/>
      <c r="E76" s="81"/>
      <c r="F76" s="81"/>
      <c r="G76" s="81"/>
      <c r="H76" s="81"/>
      <c r="I76" s="81"/>
    </row>
    <row r="77" spans="1:9">
      <c r="A77" s="81"/>
      <c r="B77" s="81"/>
      <c r="C77" s="214" t="s">
        <v>191</v>
      </c>
      <c r="D77" s="81"/>
      <c r="E77" s="81"/>
      <c r="F77" s="81"/>
      <c r="G77" s="81"/>
      <c r="H77" s="81"/>
      <c r="I77" s="81"/>
    </row>
    <row r="78" spans="1:9">
      <c r="A78" s="81"/>
      <c r="B78" s="81"/>
      <c r="C78" s="81"/>
      <c r="D78" s="81"/>
      <c r="E78" s="81"/>
      <c r="F78" s="81"/>
      <c r="G78" s="81"/>
      <c r="H78" s="81"/>
      <c r="I78" s="81"/>
    </row>
    <row r="79" spans="1:9">
      <c r="A79" s="81"/>
      <c r="B79" s="1295" t="s">
        <v>192</v>
      </c>
      <c r="C79" s="1295"/>
      <c r="D79" s="1796"/>
      <c r="E79" s="1796"/>
      <c r="F79" s="1796"/>
      <c r="G79" s="1796"/>
      <c r="H79" s="1796"/>
      <c r="I79" s="1796"/>
    </row>
    <row r="80" spans="1:9">
      <c r="A80" s="81"/>
      <c r="B80" s="1295" t="s">
        <v>193</v>
      </c>
      <c r="C80" s="1295"/>
      <c r="D80" s="1795"/>
      <c r="E80" s="1795"/>
      <c r="F80" s="1795"/>
      <c r="G80" s="1795"/>
      <c r="H80" s="1795"/>
      <c r="I80" s="1795"/>
    </row>
    <row r="81" spans="1:9">
      <c r="A81" s="81"/>
      <c r="B81" s="1295" t="s">
        <v>194</v>
      </c>
      <c r="C81" s="1295"/>
      <c r="D81" s="1795"/>
      <c r="E81" s="1795"/>
      <c r="F81" s="1795"/>
      <c r="G81" s="1795"/>
      <c r="H81" s="1795"/>
      <c r="I81" s="1795"/>
    </row>
    <row r="82" spans="1:9">
      <c r="A82" s="81"/>
      <c r="B82" s="1295" t="s">
        <v>195</v>
      </c>
      <c r="C82" s="1295"/>
      <c r="D82" s="1795"/>
      <c r="E82" s="1795"/>
      <c r="F82" s="1795"/>
      <c r="G82" s="1795"/>
      <c r="H82" s="1795"/>
      <c r="I82" s="1795"/>
    </row>
    <row r="83" spans="1:9">
      <c r="A83" s="81"/>
      <c r="B83" s="1295" t="s">
        <v>196</v>
      </c>
      <c r="C83" s="1295"/>
      <c r="D83" s="1795"/>
      <c r="E83" s="1795"/>
      <c r="F83" s="1795"/>
      <c r="G83" s="1795"/>
      <c r="H83" s="1795"/>
      <c r="I83" s="1795"/>
    </row>
    <row r="84" spans="1:9">
      <c r="A84" s="81"/>
      <c r="B84" s="1295" t="s">
        <v>197</v>
      </c>
      <c r="C84" s="1295"/>
      <c r="D84" s="1796"/>
      <c r="E84" s="1796"/>
      <c r="F84" s="1796"/>
      <c r="G84" s="1796"/>
      <c r="H84" s="1796"/>
      <c r="I84" s="1796"/>
    </row>
    <row r="85" spans="1:9">
      <c r="A85" s="81"/>
      <c r="B85" s="1295" t="s">
        <v>198</v>
      </c>
      <c r="C85" s="1295"/>
      <c r="D85" s="1779"/>
      <c r="E85" s="1779"/>
      <c r="F85" s="1779"/>
      <c r="G85" s="1779"/>
      <c r="H85" s="209" t="s">
        <v>199</v>
      </c>
      <c r="I85" s="216"/>
    </row>
    <row r="86" spans="1:9">
      <c r="A86" s="81"/>
      <c r="B86" s="1295" t="s">
        <v>200</v>
      </c>
      <c r="C86" s="1295"/>
      <c r="D86" s="1779"/>
      <c r="E86" s="1779"/>
      <c r="F86" s="1779"/>
      <c r="G86" s="1779"/>
      <c r="H86" s="209" t="s">
        <v>201</v>
      </c>
      <c r="I86" s="217"/>
    </row>
    <row r="87" spans="1:9">
      <c r="A87" s="81"/>
      <c r="B87" s="81"/>
      <c r="C87" s="81"/>
      <c r="D87" s="81"/>
      <c r="E87" s="81"/>
      <c r="F87" s="81"/>
      <c r="G87" s="81"/>
      <c r="H87" s="81"/>
      <c r="I87" s="81"/>
    </row>
    <row r="88" spans="1:9">
      <c r="A88" s="81"/>
      <c r="B88" s="81"/>
      <c r="C88" s="81"/>
      <c r="D88" s="81"/>
      <c r="E88" s="81"/>
      <c r="F88" s="81"/>
      <c r="G88" s="81"/>
      <c r="H88" s="81"/>
      <c r="I88" s="81"/>
    </row>
  </sheetData>
  <sheetProtection password="CA2C" sheet="1" objects="1" scenarios="1"/>
  <mergeCells count="98">
    <mergeCell ref="B82:C82"/>
    <mergeCell ref="B83:C83"/>
    <mergeCell ref="B84:C84"/>
    <mergeCell ref="A20:I20"/>
    <mergeCell ref="B22:E22"/>
    <mergeCell ref="B24:E24"/>
    <mergeCell ref="F24:G24"/>
    <mergeCell ref="F23:G23"/>
    <mergeCell ref="B21:C21"/>
    <mergeCell ref="B23:E23"/>
    <mergeCell ref="A45:C45"/>
    <mergeCell ref="B79:C79"/>
    <mergeCell ref="F46:I46"/>
    <mergeCell ref="D37:H37"/>
    <mergeCell ref="H53:I53"/>
    <mergeCell ref="A65:B65"/>
    <mergeCell ref="A2:I2"/>
    <mergeCell ref="A3:I3"/>
    <mergeCell ref="B27:E27"/>
    <mergeCell ref="B25:E25"/>
    <mergeCell ref="A9:D9"/>
    <mergeCell ref="A10:D10"/>
    <mergeCell ref="A16:I16"/>
    <mergeCell ref="I10:I11"/>
    <mergeCell ref="A11:D13"/>
    <mergeCell ref="F10:F11"/>
    <mergeCell ref="G10:H11"/>
    <mergeCell ref="G13:I13"/>
    <mergeCell ref="G14:I14"/>
    <mergeCell ref="F22:G22"/>
    <mergeCell ref="H24:I24"/>
    <mergeCell ref="B18:E18"/>
    <mergeCell ref="H18:I18"/>
    <mergeCell ref="F7:F8"/>
    <mergeCell ref="I7:I8"/>
    <mergeCell ref="G7:H8"/>
    <mergeCell ref="A4:D6"/>
    <mergeCell ref="A7:D7"/>
    <mergeCell ref="A8:B8"/>
    <mergeCell ref="C70:G70"/>
    <mergeCell ref="C14:D14"/>
    <mergeCell ref="F25:G25"/>
    <mergeCell ref="H55:I55"/>
    <mergeCell ref="H27:I27"/>
    <mergeCell ref="H33:I33"/>
    <mergeCell ref="D33:F33"/>
    <mergeCell ref="H34:I34"/>
    <mergeCell ref="D34:F34"/>
    <mergeCell ref="A32:I32"/>
    <mergeCell ref="A30:I30"/>
    <mergeCell ref="A34:C34"/>
    <mergeCell ref="F27:G27"/>
    <mergeCell ref="H29:I29"/>
    <mergeCell ref="A35:I35"/>
    <mergeCell ref="B55:D55"/>
    <mergeCell ref="A37:C37"/>
    <mergeCell ref="D38:H38"/>
    <mergeCell ref="C65:F65"/>
    <mergeCell ref="G65:H65"/>
    <mergeCell ref="A68:B68"/>
    <mergeCell ref="C68:G68"/>
    <mergeCell ref="B28:E28"/>
    <mergeCell ref="D86:G86"/>
    <mergeCell ref="A58:I59"/>
    <mergeCell ref="D81:I81"/>
    <mergeCell ref="D82:I82"/>
    <mergeCell ref="D83:I83"/>
    <mergeCell ref="D84:I84"/>
    <mergeCell ref="A70:B70"/>
    <mergeCell ref="D79:I79"/>
    <mergeCell ref="D80:I80"/>
    <mergeCell ref="A63:B63"/>
    <mergeCell ref="C63:I63"/>
    <mergeCell ref="C64:I64"/>
    <mergeCell ref="B80:C80"/>
    <mergeCell ref="B85:C85"/>
    <mergeCell ref="B86:C86"/>
    <mergeCell ref="D85:G85"/>
    <mergeCell ref="C72:E72"/>
    <mergeCell ref="A72:B72"/>
    <mergeCell ref="B29:E29"/>
    <mergeCell ref="A61:B61"/>
    <mergeCell ref="C61:I61"/>
    <mergeCell ref="A46:B46"/>
    <mergeCell ref="A44:C44"/>
    <mergeCell ref="A49:I49"/>
    <mergeCell ref="A50:I50"/>
    <mergeCell ref="A51:I51"/>
    <mergeCell ref="B53:C53"/>
    <mergeCell ref="B81:C81"/>
    <mergeCell ref="F29:G29"/>
    <mergeCell ref="D39:H39"/>
    <mergeCell ref="A41:I41"/>
    <mergeCell ref="B26:E26"/>
    <mergeCell ref="F26:G26"/>
    <mergeCell ref="B17:F17"/>
    <mergeCell ref="C8:D8"/>
    <mergeCell ref="A14:B14"/>
  </mergeCells>
  <phoneticPr fontId="0" type="noConversion"/>
  <conditionalFormatting sqref="A17">
    <cfRule type="expression" dxfId="85" priority="1" stopIfTrue="1">
      <formula>ISBLANK(B17)</formula>
    </cfRule>
  </conditionalFormatting>
  <dataValidations disablePrompts="1" xWindow="656" yWindow="290" count="8">
    <dataValidation allowBlank="1" showInputMessage="1" showErrorMessage="1" promptTitle="Respondent" prompt="Enter Respondent's Name If Not Present" sqref="A10:C10"/>
    <dataValidation allowBlank="1" showInputMessage="1" showErrorMessage="1" promptTitle="Case Number" prompt="Case Number Can't Be Changed Here.  Go To Worksheet To Enter or Change Case Number." sqref="I7:I8"/>
    <dataValidation allowBlank="1" showInputMessage="1" showErrorMessage="1" promptTitle="Petitioner's Name" prompt="Petitioner's Name Can't Be Changed or Entered Here.  Go To The Worksheet To Enter Petitioner's Correct Name." sqref="A7"/>
    <dataValidation allowBlank="1" showInputMessage="1" showErrorMessage="1" promptTitle="Respondent's Name" prompt="Respondent's Name Can't Be Changed or Entered Here.  Go To The Worksheet To Enter Respondent's Correct Name." sqref="A11:C13"/>
    <dataValidation allowBlank="1" showInputMessage="1" showErrorMessage="1" promptTitle="Actual Termination Date" prompt="If You Want To Change The Presumptive Termination Date To An Actual Termination Date Enter Month and Day of Actual Termination Date Here--DO NOT ENTER YEAR." sqref="D33"/>
    <dataValidation allowBlank="1" showInputMessage="1" showErrorMessage="1" promptTitle="Actual Termination Year" prompt="If You Want To Change The Presumptive Termination Date To An Actual Termination Date Enter Year of Actual Termination Date Here." sqref="G33"/>
    <dataValidation allowBlank="1" showInputMessage="1" showErrorMessage="1" promptTitle="Social Security Number" prompt="Enter Social Security Number Here If Not Present." sqref="I17"/>
    <dataValidation allowBlank="1" showInputMessage="1" showErrorMessage="1" promptTitle="Payor's Name" prompt="Input Name of Obligor here if not present from Worsheet." sqref="B17:F17"/>
  </dataValidations>
  <hyperlinks>
    <hyperlink ref="A51" r:id="rId1"/>
  </hyperlinks>
  <pageMargins left="1.01" right="0.57999999999999996" top="0.76" bottom="0.55000000000000004" header="0.37" footer="0.5"/>
  <pageSetup scale="90" orientation="portrait" r:id="rId2"/>
  <headerFooter alignWithMargins="0"/>
  <rowBreaks count="1" manualBreakCount="1">
    <brk id="47" max="8" man="1"/>
  </rowBreaks>
</worksheet>
</file>

<file path=xl/worksheets/sheet6.xml><?xml version="1.0" encoding="utf-8"?>
<worksheet xmlns="http://schemas.openxmlformats.org/spreadsheetml/2006/main" xmlns:r="http://schemas.openxmlformats.org/officeDocument/2006/relationships">
  <sheetPr codeName="Sheet6"/>
  <dimension ref="A1:N355"/>
  <sheetViews>
    <sheetView workbookViewId="0"/>
  </sheetViews>
  <sheetFormatPr defaultRowHeight="12.75"/>
  <cols>
    <col min="1" max="1" width="7.85546875" customWidth="1"/>
    <col min="3" max="3" width="12.140625" customWidth="1"/>
    <col min="4" max="4" width="14.28515625" customWidth="1"/>
    <col min="5" max="5" width="9.85546875" style="103" customWidth="1"/>
    <col min="6" max="6" width="9.85546875" customWidth="1"/>
    <col min="7" max="8" width="9.140625" style="103"/>
    <col min="11" max="11" width="6.85546875" customWidth="1"/>
    <col min="12" max="13" width="7.85546875" customWidth="1"/>
  </cols>
  <sheetData>
    <row r="1" spans="1:13" ht="11.25" customHeight="1">
      <c r="A1" s="183"/>
      <c r="B1" s="1846" t="s">
        <v>158</v>
      </c>
      <c r="C1" s="1846"/>
      <c r="D1" s="1846"/>
      <c r="E1" s="1846"/>
      <c r="F1" s="1846"/>
      <c r="G1" s="1846"/>
      <c r="H1" s="1846"/>
      <c r="I1" s="1846"/>
      <c r="J1" s="182"/>
      <c r="K1" s="107"/>
      <c r="L1" s="107"/>
      <c r="M1" s="107"/>
    </row>
    <row r="2" spans="1:13" ht="39.75" customHeight="1">
      <c r="A2" s="1847" t="s">
        <v>179</v>
      </c>
      <c r="B2" s="1848"/>
      <c r="C2" s="1849"/>
      <c r="D2" s="228" t="str">
        <f>IF(Worksheet!K145="x",2,"")</f>
        <v/>
      </c>
      <c r="E2" s="195" t="s">
        <v>180</v>
      </c>
      <c r="F2" s="196" t="s">
        <v>162</v>
      </c>
      <c r="G2" s="196" t="s">
        <v>177</v>
      </c>
      <c r="H2" s="196" t="s">
        <v>154</v>
      </c>
      <c r="I2" s="196" t="s">
        <v>155</v>
      </c>
      <c r="J2" s="197" t="s">
        <v>156</v>
      </c>
    </row>
    <row r="3" spans="1:13" ht="9.9499999999999993" customHeight="1">
      <c r="A3" s="1853" t="s">
        <v>171</v>
      </c>
      <c r="B3" s="1853"/>
      <c r="C3" s="1853"/>
      <c r="D3" s="1854" t="str">
        <f>IF(OR(NOT(ISNUMBER(D2)),D2&gt;1),"",D2)</f>
        <v/>
      </c>
      <c r="E3" s="198">
        <f>IF(AND(D2&gt;G3,D2&lt;=H3),I3,0)</f>
        <v>0</v>
      </c>
      <c r="F3" s="199">
        <f>IF(AND(D7&gt;G3,D7&lt;=H3),I3,0)</f>
        <v>0</v>
      </c>
      <c r="G3" s="199">
        <v>0.9</v>
      </c>
      <c r="H3" s="199">
        <v>1</v>
      </c>
      <c r="I3" s="199">
        <v>0.95</v>
      </c>
      <c r="J3" s="200">
        <v>1</v>
      </c>
    </row>
    <row r="4" spans="1:13" ht="9.9499999999999993" customHeight="1">
      <c r="A4" s="1853"/>
      <c r="B4" s="1853"/>
      <c r="C4" s="1853"/>
      <c r="D4" s="1851"/>
      <c r="E4" s="198">
        <f>IF(AND(D2&gt;G4,D2&lt;=H4),I4,0)</f>
        <v>0</v>
      </c>
      <c r="F4" s="199">
        <f>IF(AND(D7&gt;G4,D7&lt;=H4),I4,0)</f>
        <v>0</v>
      </c>
      <c r="G4" s="199">
        <v>0.77500000000000002</v>
      </c>
      <c r="H4" s="199">
        <v>0.9</v>
      </c>
      <c r="I4" s="199">
        <v>0.8</v>
      </c>
      <c r="J4" s="201">
        <v>0.8</v>
      </c>
    </row>
    <row r="5" spans="1:13" ht="9.9499999999999993" customHeight="1">
      <c r="A5" s="1853" t="s">
        <v>153</v>
      </c>
      <c r="B5" s="1853"/>
      <c r="C5" s="1853"/>
      <c r="D5" s="1855" t="str">
        <f>Worksheet!U44</f>
        <v/>
      </c>
      <c r="E5" s="198">
        <f>IF(AND(D2&gt;G5,D2&lt;=H5),I5,0)</f>
        <v>0</v>
      </c>
      <c r="F5" s="199">
        <f>IF(AND(D7&gt;G5,D7&lt;=H5),I5,0)</f>
        <v>0</v>
      </c>
      <c r="G5" s="199">
        <v>0.70830000000000004</v>
      </c>
      <c r="H5" s="199">
        <v>0.77500000000000002</v>
      </c>
      <c r="I5" s="199">
        <v>0.75</v>
      </c>
      <c r="J5" s="201">
        <v>0.75</v>
      </c>
    </row>
    <row r="6" spans="1:13" ht="9.9499999999999993" customHeight="1">
      <c r="A6" s="1853"/>
      <c r="B6" s="1853"/>
      <c r="C6" s="1853"/>
      <c r="D6" s="1851"/>
      <c r="E6" s="198">
        <f>IF(AND(D2&gt;G6,D2&lt;=H6),I6,0)</f>
        <v>0</v>
      </c>
      <c r="F6" s="199">
        <f>IF(AND(D7&gt;G6,D7&lt;=H6),I6,0)</f>
        <v>0</v>
      </c>
      <c r="G6" s="199">
        <v>0.63329999999999997</v>
      </c>
      <c r="H6" s="199">
        <v>0.70830000000000004</v>
      </c>
      <c r="I6" s="199">
        <v>0.7</v>
      </c>
      <c r="J6" s="201">
        <v>0.66666666666666663</v>
      </c>
    </row>
    <row r="7" spans="1:13" ht="9.9499999999999993" customHeight="1">
      <c r="A7" s="1853" t="s">
        <v>170</v>
      </c>
      <c r="B7" s="1853"/>
      <c r="C7" s="1853"/>
      <c r="D7" s="1856" t="str">
        <f>Worksheet!U69</f>
        <v/>
      </c>
      <c r="E7" s="198">
        <f>IF(AND(D2&gt;G7,D2&lt;=H7),I7,0)</f>
        <v>0</v>
      </c>
      <c r="F7" s="199">
        <f>IF(AND(D7&gt;G7,D7&lt;=H7),I7,0)</f>
        <v>0</v>
      </c>
      <c r="G7" s="199">
        <v>0.55000000000000004</v>
      </c>
      <c r="H7" s="199">
        <v>0.63329999999999997</v>
      </c>
      <c r="I7" s="199">
        <v>0.6</v>
      </c>
      <c r="J7" s="201">
        <v>0.6</v>
      </c>
    </row>
    <row r="8" spans="1:13" ht="9.9499999999999993" customHeight="1">
      <c r="A8" s="1853"/>
      <c r="B8" s="1853"/>
      <c r="C8" s="1853"/>
      <c r="D8" s="1857"/>
      <c r="E8" s="198">
        <f>IF(AND(D2&gt;G8,D2&lt;=H8),I8,0)</f>
        <v>0</v>
      </c>
      <c r="F8" s="199">
        <f>IF(AND(D7&gt;G8,D7&lt;=H8),I8,0)</f>
        <v>0</v>
      </c>
      <c r="G8" s="199">
        <v>0.45</v>
      </c>
      <c r="H8" s="199">
        <v>0.55000000000000004</v>
      </c>
      <c r="I8" s="199">
        <v>0.5</v>
      </c>
      <c r="J8" s="201">
        <v>0.5</v>
      </c>
    </row>
    <row r="9" spans="1:13" ht="9.9499999999999993" customHeight="1">
      <c r="A9" s="1853" t="s">
        <v>160</v>
      </c>
      <c r="B9" s="1853"/>
      <c r="C9" s="1853"/>
      <c r="D9" s="1850" t="str">
        <f>IF(NOT(ISNUMBER(D5)),"",IF(D5&gt;6,61,D5*10+1+F14))</f>
        <v/>
      </c>
      <c r="E9" s="198">
        <f>IF(AND(D2&gt;G9,D2&lt;=H9),I9,0)</f>
        <v>0</v>
      </c>
      <c r="F9" s="199">
        <f>IF(AND(D7&gt;G9,D7&lt;=H9),I9,0)</f>
        <v>0</v>
      </c>
      <c r="G9" s="199">
        <v>0.36659999999999998</v>
      </c>
      <c r="H9" s="199">
        <v>0.45</v>
      </c>
      <c r="I9" s="199">
        <v>0.4</v>
      </c>
      <c r="J9" s="201">
        <v>0.4</v>
      </c>
    </row>
    <row r="10" spans="1:13" ht="9.9499999999999993" customHeight="1">
      <c r="A10" s="1853"/>
      <c r="B10" s="1853"/>
      <c r="C10" s="1853"/>
      <c r="D10" s="1851"/>
      <c r="E10" s="198">
        <f>IF(AND(D2&gt;G10,D2&lt;=H10),I10,0)</f>
        <v>0</v>
      </c>
      <c r="F10" s="199">
        <f>IF(AND(D7&gt;G10,D7&lt;=H10),I10,0)</f>
        <v>0</v>
      </c>
      <c r="G10" s="199">
        <v>0.29160000000000003</v>
      </c>
      <c r="H10" s="199">
        <v>0.36659999999999998</v>
      </c>
      <c r="I10" s="199">
        <v>0.3</v>
      </c>
      <c r="J10" s="201">
        <v>0.33333333333333331</v>
      </c>
      <c r="L10" s="105"/>
      <c r="M10" s="103"/>
    </row>
    <row r="11" spans="1:13" ht="9.9499999999999993" customHeight="1">
      <c r="A11" s="1852" t="s">
        <v>161</v>
      </c>
      <c r="B11" s="1852"/>
      <c r="C11" s="1852"/>
      <c r="D11" s="1850" t="str">
        <f>IF(NOT(ISNUMBER(D2)),"",IF(D2&gt;1,101,IF(D5&gt;6,61,D5*10+1+E14)))</f>
        <v/>
      </c>
      <c r="E11" s="198">
        <f>IF(AND(D2&gt;G11,D2&lt;=H11),I11,0)</f>
        <v>0</v>
      </c>
      <c r="F11" s="199">
        <f>IF(AND(D7&gt;G11,D7&lt;=H11),I11,0)</f>
        <v>0</v>
      </c>
      <c r="G11" s="199">
        <v>0.22500000000000001</v>
      </c>
      <c r="H11" s="199">
        <v>0.29160000000000003</v>
      </c>
      <c r="I11" s="199">
        <v>0.25</v>
      </c>
      <c r="J11" s="201">
        <v>0.25</v>
      </c>
      <c r="L11" s="105"/>
      <c r="M11" s="103"/>
    </row>
    <row r="12" spans="1:13" ht="9.9499999999999993" customHeight="1">
      <c r="A12" s="1853"/>
      <c r="B12" s="1853"/>
      <c r="C12" s="1853"/>
      <c r="D12" s="1851"/>
      <c r="E12" s="198">
        <f>IF(AND(D2&gt;G12,D2&lt;=H12),I12,0)</f>
        <v>0</v>
      </c>
      <c r="F12" s="199">
        <f>IF(AND(D7&gt;G12,D7&lt;=H12),I12,0)</f>
        <v>0</v>
      </c>
      <c r="G12" s="199">
        <v>0.1</v>
      </c>
      <c r="H12" s="199">
        <v>0.22500000000000001</v>
      </c>
      <c r="I12" s="199">
        <v>0.2</v>
      </c>
      <c r="J12" s="201">
        <v>0.2</v>
      </c>
      <c r="L12" s="105"/>
      <c r="M12" s="103"/>
    </row>
    <row r="13" spans="1:13" ht="9.9499999999999993" customHeight="1">
      <c r="A13" s="1853" t="s">
        <v>157</v>
      </c>
      <c r="B13" s="1853"/>
      <c r="C13" s="1853"/>
      <c r="D13" s="1850" t="str">
        <f>IF(ISNUMBER(D2),D11,D9)</f>
        <v/>
      </c>
      <c r="E13" s="198">
        <f>IF(AND(D2&gt;G13,D2&lt;=H13),I13,0)</f>
        <v>0</v>
      </c>
      <c r="F13" s="199">
        <f>IF(AND(D7&gt;G13,D7&lt;=H13),I13,0)</f>
        <v>0</v>
      </c>
      <c r="G13" s="199">
        <v>0</v>
      </c>
      <c r="H13" s="199">
        <v>0.1</v>
      </c>
      <c r="I13" s="199">
        <v>0</v>
      </c>
      <c r="J13" s="201">
        <v>0</v>
      </c>
      <c r="L13" s="105"/>
      <c r="M13" s="103"/>
    </row>
    <row r="14" spans="1:13" ht="9.9499999999999993" customHeight="1">
      <c r="A14" s="1853"/>
      <c r="B14" s="1853"/>
      <c r="C14" s="1853"/>
      <c r="D14" s="1851"/>
      <c r="E14" s="198">
        <f>SUM(E3:E13)</f>
        <v>0</v>
      </c>
      <c r="F14" s="199">
        <f>SUM(F3:F13)</f>
        <v>0</v>
      </c>
      <c r="G14" s="179"/>
      <c r="H14" s="179"/>
      <c r="I14" s="179"/>
      <c r="J14" s="201">
        <f>F14</f>
        <v>0</v>
      </c>
      <c r="K14" s="103"/>
      <c r="L14" s="105"/>
      <c r="M14" s="103"/>
    </row>
    <row r="15" spans="1:13" ht="9.75" customHeight="1">
      <c r="A15" s="174"/>
      <c r="B15" s="175"/>
      <c r="C15" s="176"/>
      <c r="D15" s="177"/>
      <c r="E15" s="1871">
        <f>IF(NOT(ISNUMBER(D2)),F14,E14)</f>
        <v>0</v>
      </c>
      <c r="F15" s="1871"/>
      <c r="G15" s="175"/>
      <c r="H15" s="177"/>
      <c r="I15" s="175"/>
      <c r="J15" s="178"/>
      <c r="K15" s="103"/>
      <c r="L15" s="105"/>
      <c r="M15" s="103"/>
    </row>
    <row r="16" spans="1:13">
      <c r="A16" s="1513" t="s">
        <v>159</v>
      </c>
      <c r="B16" s="1858"/>
      <c r="C16" s="1859"/>
      <c r="D16" s="1009" t="s">
        <v>113</v>
      </c>
      <c r="E16" s="1869" t="s">
        <v>168</v>
      </c>
      <c r="F16" s="995" t="s">
        <v>178</v>
      </c>
      <c r="G16" s="1867"/>
      <c r="H16" s="1867"/>
      <c r="I16" s="1867"/>
      <c r="J16" s="1868"/>
      <c r="K16" s="112"/>
    </row>
    <row r="17" spans="1:14">
      <c r="A17" s="1860"/>
      <c r="B17" s="1861"/>
      <c r="C17" s="1862"/>
      <c r="D17" s="1863"/>
      <c r="E17" s="1870"/>
      <c r="F17" s="120" t="str">
        <f ca="1">IF(NOT(ISNUMBER(D18)),"",YEAR(TODAY()))</f>
        <v/>
      </c>
      <c r="G17" s="114" t="str">
        <f>IF(NOT(ISNUMBER(D18)),"",IF(F17+1&lt;=YEAR(MAX(D18:D23))+18,F17+1,""))</f>
        <v/>
      </c>
      <c r="H17" s="114" t="str">
        <f>IF(OR(NOT(ISNUMBER(D18)),E15=0.5),"",IF(F17+2&lt;=YEAR(MAX(D18:D23))+18,F17+2,""))</f>
        <v/>
      </c>
      <c r="I17" s="114" t="str">
        <f>IF(OR(NOT(ISNUMBER(D18)),E15=0.7,E15=0.5,E15=0.3),"",IF(F17+3&lt;=YEAR(MAX(D18:D23))+18,F17+3,""))</f>
        <v/>
      </c>
      <c r="J17" s="114" t="str">
        <f>IF(OR(NOT(ISNUMBER(D18)),E15=0.75,E15=0.7,E15=0.5,E15=0.3,E15=0.25),"",IF(F17+4&lt;=YEAR(MAX(D18:D23))+18,F17+4,""))</f>
        <v/>
      </c>
    </row>
    <row r="18" spans="1:14">
      <c r="A18" s="1841" t="str">
        <f>IF(NOT(ISBLANK(ChildSupportOrder!C100)),ChildSupportOrder!C100,"")</f>
        <v/>
      </c>
      <c r="B18" s="1348"/>
      <c r="C18" s="1842"/>
      <c r="D18" s="115" t="str">
        <f>ChildSupportOrder!I100</f>
        <v/>
      </c>
      <c r="E18" s="121" t="e">
        <f t="shared" ref="E18:E23" ca="1" si="0">(TODAY()-D18)/365.25</f>
        <v>#VALUE!</v>
      </c>
      <c r="F18" s="116" t="str">
        <f>IF(NOT(ISNUMBER(ChildSupportOrder!M19)),"",IF(F17&lt;=YEAR(D18)+18,VLOOKUP(D13,D27:J331,3,FALSE),""))</f>
        <v/>
      </c>
      <c r="G18" s="116" t="str">
        <f>IF(NOT(ISNUMBER(ChildSupportOrder!M19)),"",IF(G17&lt;=YEAR(D18)+18,VLOOKUP(D13,D27:J331,4,FALSE),""))</f>
        <v/>
      </c>
      <c r="H18" s="116" t="str">
        <f>IF(NOT(ISNUMBER(ChildSupportOrder!M19)),"",IF(H17&lt;=YEAR(D18)+18,VLOOKUP(D13,D27:J331,5,FALSE),""))</f>
        <v/>
      </c>
      <c r="I18" s="116" t="str">
        <f>IF(NOT(ISNUMBER(ChildSupportOrder!M19)),"",IF(I17&lt;=YEAR(D18)+18,VLOOKUP(D13,D27:J331,6,FALSE),""))</f>
        <v/>
      </c>
      <c r="J18" s="116" t="str">
        <f>IF(NOT(ISNUMBER(ChildSupportOrder!M19)),"",IF(J17&lt;=YEAR(D18)+18,VLOOKUP(D13,D27:J331,7,FALSE),""))</f>
        <v/>
      </c>
    </row>
    <row r="19" spans="1:14">
      <c r="A19" s="1841" t="str">
        <f>IF(NOT(ISBLANK(ChildSupportOrder!C101)),ChildSupportOrder!C101,"")</f>
        <v/>
      </c>
      <c r="B19" s="1348"/>
      <c r="C19" s="1842"/>
      <c r="D19" s="115" t="str">
        <f>ChildSupportOrder!I101</f>
        <v/>
      </c>
      <c r="E19" s="121" t="e">
        <f t="shared" ca="1" si="0"/>
        <v>#VALUE!</v>
      </c>
      <c r="F19" s="116" t="str">
        <f>IF(NOT(ISNUMBER(ChildSupportOrder!M20)),"",IF(F17&lt;=YEAR(D19)+18,VLOOKUP(D13+1,D27:J331,3,FALSE),""))</f>
        <v/>
      </c>
      <c r="G19" s="116" t="str">
        <f>IF(NOT(ISNUMBER(ChildSupportOrder!M20)),"",IF(G17&lt;=YEAR(D19)+18,VLOOKUP(D13+1,D27:J331,4,FALSE),""))</f>
        <v/>
      </c>
      <c r="H19" s="116" t="str">
        <f>IF(NOT(ISNUMBER(ChildSupportOrder!M20)),"",IF(H17&lt;=YEAR(D19)+18,VLOOKUP(D13+1,D27:J331,5,FALSE),""))</f>
        <v/>
      </c>
      <c r="I19" s="116" t="str">
        <f>IF(NOT(ISNUMBER(ChildSupportOrder!M20)),"",IF(I17&lt;=YEAR(D19)+18,VLOOKUP(D13+1,D27:J331,6,FALSE),""))</f>
        <v/>
      </c>
      <c r="J19" s="116" t="str">
        <f>IF(NOT(ISNUMBER(ChildSupportOrder!M20)),"",IF(J17&lt;=YEAR(D19)+18,VLOOKUP(D13+1,D27:J331,7,FALSE),""))</f>
        <v/>
      </c>
    </row>
    <row r="20" spans="1:14">
      <c r="A20" s="1841" t="str">
        <f>IF(NOT(ISBLANK(ChildSupportOrder!C102)),ChildSupportOrder!C102,"")</f>
        <v/>
      </c>
      <c r="B20" s="1348"/>
      <c r="C20" s="1842"/>
      <c r="D20" s="115" t="str">
        <f>ChildSupportOrder!I102</f>
        <v/>
      </c>
      <c r="E20" s="121" t="e">
        <f t="shared" ca="1" si="0"/>
        <v>#VALUE!</v>
      </c>
      <c r="F20" s="116" t="str">
        <f>IF(NOT(ISNUMBER(ChildSupportOrder!M21)),"",IF(F17&lt;=YEAR(D20)+18,VLOOKUP(D13+2,D27:J331,3,FALSE),""))</f>
        <v/>
      </c>
      <c r="G20" s="116" t="str">
        <f>IF(NOT(ISNUMBER(ChildSupportOrder!M21)),"",IF(G17&lt;=YEAR(D20)+18,VLOOKUP(D13+2,D27:J331,4,FALSE),""))</f>
        <v/>
      </c>
      <c r="H20" s="116" t="str">
        <f>IF(NOT(ISNUMBER(ChildSupportOrder!M21)),"",IF(H17&lt;=YEAR(D20)+18,VLOOKUP(D13+2,D27:J331,5,FALSE),""))</f>
        <v/>
      </c>
      <c r="I20" s="116" t="str">
        <f>IF(NOT(ISNUMBER(ChildSupportOrder!M21)),"",IF(I17&lt;=YEAR(D20)+18,VLOOKUP(D13+2,D27:J331,6,FALSE),""))</f>
        <v/>
      </c>
      <c r="J20" s="116" t="str">
        <f>IF(NOT(ISNUMBER(ChildSupportOrder!M21)),"",IF(J17&lt;=YEAR(D20)+18,VLOOKUP(D13+2,D27:J331,7,FALSE),""))</f>
        <v/>
      </c>
    </row>
    <row r="21" spans="1:14">
      <c r="A21" s="1841" t="str">
        <f>IF(NOT(ISBLANK(ChildSupportOrder!C103)),ChildSupportOrder!C103,"")</f>
        <v/>
      </c>
      <c r="B21" s="1348"/>
      <c r="C21" s="1842"/>
      <c r="D21" s="115" t="str">
        <f>ChildSupportOrder!I103</f>
        <v/>
      </c>
      <c r="E21" s="121" t="e">
        <f t="shared" ca="1" si="0"/>
        <v>#VALUE!</v>
      </c>
      <c r="F21" s="116" t="str">
        <f>IF(NOT(ISNUMBER(ChildSupportOrder!M22)),"",IF(F17&lt;=YEAR(D21)+18,VLOOKUP(D13+3,D27:J331,3,FALSE),""))</f>
        <v/>
      </c>
      <c r="G21" s="116" t="str">
        <f>IF(NOT(ISNUMBER(ChildSupportOrder!M22)),"",IF(G17&lt;=YEAR(D21)+18,VLOOKUP(D13+3,D27:J331,4,FALSE),""))</f>
        <v/>
      </c>
      <c r="H21" s="116" t="str">
        <f>IF(NOT(ISNUMBER(ChildSupportOrder!M22)),"",IF(H17&lt;=YEAR(D21)+18,VLOOKUP(D13+3,D27:J331,5,FALSE),""))</f>
        <v/>
      </c>
      <c r="I21" s="116" t="str">
        <f>IF(NOT(ISNUMBER(ChildSupportOrder!M22)),"",IF(I17&lt;=YEAR(D21)+18,VLOOKUP(D13+3,D27:J331,6,FALSE),""))</f>
        <v/>
      </c>
      <c r="J21" s="116" t="str">
        <f>IF(NOT(ISNUMBER(ChildSupportOrder!M22)),"",IF(J17&lt;=YEAR(D21)+18,VLOOKUP(D13+3,D27:J331,7,FALSE),""))</f>
        <v/>
      </c>
    </row>
    <row r="22" spans="1:14">
      <c r="A22" s="1841" t="str">
        <f>IF(NOT(ISBLANK(ChildSupportOrder!C104)),ChildSupportOrder!C104,"")</f>
        <v/>
      </c>
      <c r="B22" s="1348"/>
      <c r="C22" s="1842"/>
      <c r="D22" s="115" t="str">
        <f>ChildSupportOrder!I104</f>
        <v/>
      </c>
      <c r="E22" s="121" t="e">
        <f t="shared" ca="1" si="0"/>
        <v>#VALUE!</v>
      </c>
      <c r="F22" s="116" t="str">
        <f>IF(NOT(ISNUMBER(ChildSupportOrder!M23)),"",IF(F17&lt;=YEAR(D22)+18,VLOOKUP(D13+4,D27:J331,3,FALSE),""))</f>
        <v/>
      </c>
      <c r="G22" s="116" t="str">
        <f>IF(NOT(ISNUMBER(ChildSupportOrder!M23)),"",IF(G17&lt;=YEAR(D22)+18,VLOOKUP(D13+4,D27:J331,4,FALSE),""))</f>
        <v/>
      </c>
      <c r="H22" s="116" t="str">
        <f>IF(NOT(ISNUMBER(ChildSupportOrder!M23)),"",IF(H17&lt;=YEAR(D22)+18,VLOOKUP(D13+4,D27:J331,5,FALSE),""))</f>
        <v/>
      </c>
      <c r="I22" s="116" t="str">
        <f>IF(NOT(ISNUMBER(ChildSupportOrder!M23)),"",IF(I17&lt;=YEAR(D22)+18,VLOOKUP(D13+4,D27:J331,6,FALSE),""))</f>
        <v/>
      </c>
      <c r="J22" s="116" t="str">
        <f>IF(NOT(ISNUMBER(ChildSupportOrder!M23)),"",IF(J17&lt;=YEAR(D22)+18,VLOOKUP(D13+4,D27:J331,7,FALSE),""))</f>
        <v/>
      </c>
    </row>
    <row r="23" spans="1:14">
      <c r="A23" s="1843" t="str">
        <f>IF(NOT(ISBLANK(ChildSupportOrder!C105)),ChildSupportOrder!C105,"")</f>
        <v/>
      </c>
      <c r="B23" s="1839"/>
      <c r="C23" s="1840"/>
      <c r="D23" s="115" t="str">
        <f>ChildSupportOrder!I105</f>
        <v/>
      </c>
      <c r="E23" s="121" t="e">
        <f t="shared" ca="1" si="0"/>
        <v>#VALUE!</v>
      </c>
      <c r="F23" s="116" t="str">
        <f>IF(NOT(ISNUMBER(ChildSupportOrder!M24)),"",IF(F17&lt;=YEAR(D23)+18,VLOOKUP(D13+5,D27:J331,3,FALSE),""))</f>
        <v/>
      </c>
      <c r="G23" s="116" t="str">
        <f>IF(NOT(ISNUMBER(ChildSupportOrder!M24)),"",IF(G17&lt;=YEAR(D23)+18,VLOOKUP(D13+5,D27:J331,4,FALSE),""))</f>
        <v/>
      </c>
      <c r="H23" s="116" t="str">
        <f>IF(NOT(ISNUMBER(ChildSupportOrder!M24)),"",IF(H17&lt;=YEAR(D23)+18,VLOOKUP(D13+5,D27:J331,5,FALSE),""))</f>
        <v/>
      </c>
      <c r="I23" s="116" t="str">
        <f>IF(NOT(ISNUMBER(ChildSupportOrder!M24)),"",IF(I17&lt;=YEAR(D23)+18,VLOOKUP(D13+5,D27:J331,6,FALSE),""))</f>
        <v/>
      </c>
      <c r="J23" s="116" t="str">
        <f>IF(NOT(ISNUMBER(ChildSupportOrder!M24)),"",IF(J17&lt;=YEAR(D23)+18,VLOOKUP(D13+5,D27:J331,7,FALSE),""))</f>
        <v/>
      </c>
      <c r="M23" s="312"/>
      <c r="N23" s="312"/>
    </row>
    <row r="24" spans="1:14">
      <c r="A24" s="165"/>
      <c r="B24" s="165"/>
      <c r="C24" s="170"/>
      <c r="D24" s="118"/>
      <c r="E24" s="172"/>
      <c r="F24" s="119"/>
      <c r="G24" s="119"/>
      <c r="H24" s="119"/>
      <c r="I24" s="119"/>
      <c r="J24" s="119"/>
    </row>
    <row r="25" spans="1:14">
      <c r="A25" s="165"/>
      <c r="B25" s="166"/>
      <c r="C25" s="166"/>
      <c r="D25" s="118"/>
      <c r="E25" s="167"/>
      <c r="F25" s="1864" t="s">
        <v>176</v>
      </c>
      <c r="G25" s="1865"/>
      <c r="H25" s="1865"/>
      <c r="I25" s="1865"/>
      <c r="J25" s="1866"/>
    </row>
    <row r="26" spans="1:14">
      <c r="A26" s="1844" t="s">
        <v>174</v>
      </c>
      <c r="B26" s="1845"/>
      <c r="C26" s="1049"/>
      <c r="D26" s="106"/>
      <c r="E26" s="106" t="s">
        <v>175</v>
      </c>
      <c r="F26" s="164">
        <f ca="1">YEAR(TODAY())</f>
        <v>2015</v>
      </c>
      <c r="G26" s="164">
        <f ca="1">F26+1</f>
        <v>2016</v>
      </c>
      <c r="H26" s="164">
        <f ca="1">G26+1</f>
        <v>2017</v>
      </c>
      <c r="I26" s="164">
        <f ca="1">H26+1</f>
        <v>2018</v>
      </c>
      <c r="J26" s="164">
        <f ca="1">I26+1</f>
        <v>2019</v>
      </c>
      <c r="K26" s="113"/>
      <c r="L26" s="142"/>
      <c r="M26" s="113"/>
    </row>
    <row r="27" spans="1:14">
      <c r="A27" s="1838" t="str">
        <f t="shared" ref="A27:A32" si="1">A18</f>
        <v/>
      </c>
      <c r="B27" s="1839"/>
      <c r="C27" s="1840"/>
      <c r="D27" s="171">
        <v>101</v>
      </c>
      <c r="E27" s="180" t="str">
        <f t="shared" ref="E27:E32" ca="1" si="2">IF(ISNUMBER(E18),E18,"")</f>
        <v/>
      </c>
      <c r="F27" s="229">
        <f>Worksheet!L160</f>
        <v>0</v>
      </c>
      <c r="G27" s="229">
        <f>Worksheet!O160</f>
        <v>0</v>
      </c>
      <c r="H27" s="229">
        <f>Worksheet!R160</f>
        <v>0</v>
      </c>
      <c r="I27" s="229">
        <f>Worksheet!U160</f>
        <v>0</v>
      </c>
      <c r="J27" s="229">
        <f>Worksheet!X160</f>
        <v>0</v>
      </c>
      <c r="K27" s="133"/>
      <c r="L27" s="134"/>
      <c r="M27" s="135"/>
    </row>
    <row r="28" spans="1:14" ht="12.75" customHeight="1">
      <c r="A28" s="1838" t="str">
        <f t="shared" si="1"/>
        <v/>
      </c>
      <c r="B28" s="1839"/>
      <c r="C28" s="1840"/>
      <c r="D28" s="171">
        <v>102</v>
      </c>
      <c r="E28" s="180" t="str">
        <f t="shared" ca="1" si="2"/>
        <v/>
      </c>
      <c r="F28" s="229">
        <f>Worksheet!L161</f>
        <v>0</v>
      </c>
      <c r="G28" s="229">
        <f>Worksheet!O161</f>
        <v>0</v>
      </c>
      <c r="H28" s="229">
        <f>Worksheet!R161</f>
        <v>0</v>
      </c>
      <c r="I28" s="229">
        <f>Worksheet!U161</f>
        <v>0</v>
      </c>
      <c r="J28" s="229">
        <f>Worksheet!X161</f>
        <v>0</v>
      </c>
      <c r="K28" s="133"/>
      <c r="L28" s="134"/>
      <c r="M28" s="135"/>
    </row>
    <row r="29" spans="1:14" ht="12.75" customHeight="1">
      <c r="A29" s="1838" t="str">
        <f t="shared" si="1"/>
        <v/>
      </c>
      <c r="B29" s="1839"/>
      <c r="C29" s="1840"/>
      <c r="D29" s="171">
        <v>103</v>
      </c>
      <c r="E29" s="180" t="str">
        <f t="shared" ca="1" si="2"/>
        <v/>
      </c>
      <c r="F29" s="229">
        <f>Worksheet!L162</f>
        <v>0</v>
      </c>
      <c r="G29" s="229">
        <f>Worksheet!O162</f>
        <v>0</v>
      </c>
      <c r="H29" s="229">
        <f>Worksheet!R162</f>
        <v>0</v>
      </c>
      <c r="I29" s="229">
        <f>Worksheet!U162</f>
        <v>0</v>
      </c>
      <c r="J29" s="229">
        <f>Worksheet!X162</f>
        <v>0</v>
      </c>
      <c r="K29" s="133"/>
      <c r="L29" s="134"/>
      <c r="M29" s="135"/>
    </row>
    <row r="30" spans="1:14">
      <c r="A30" s="1838" t="str">
        <f t="shared" si="1"/>
        <v/>
      </c>
      <c r="B30" s="1839"/>
      <c r="C30" s="1840"/>
      <c r="D30" s="171">
        <v>104</v>
      </c>
      <c r="E30" s="180" t="str">
        <f t="shared" ca="1" si="2"/>
        <v/>
      </c>
      <c r="F30" s="229">
        <f>Worksheet!L163</f>
        <v>0</v>
      </c>
      <c r="G30" s="229">
        <f>Worksheet!O163</f>
        <v>0</v>
      </c>
      <c r="H30" s="229">
        <f>Worksheet!R163</f>
        <v>0</v>
      </c>
      <c r="I30" s="229">
        <f>Worksheet!U163</f>
        <v>0</v>
      </c>
      <c r="J30" s="229">
        <f>Worksheet!X163</f>
        <v>0</v>
      </c>
      <c r="K30" s="133"/>
      <c r="L30" s="134"/>
      <c r="M30" s="135"/>
    </row>
    <row r="31" spans="1:14">
      <c r="A31" s="1838" t="str">
        <f t="shared" si="1"/>
        <v/>
      </c>
      <c r="B31" s="1839"/>
      <c r="C31" s="1840"/>
      <c r="D31" s="171">
        <v>105</v>
      </c>
      <c r="E31" s="180" t="str">
        <f t="shared" ca="1" si="2"/>
        <v/>
      </c>
      <c r="F31" s="229">
        <f>Worksheet!L164</f>
        <v>0</v>
      </c>
      <c r="G31" s="229">
        <f>Worksheet!O164</f>
        <v>0</v>
      </c>
      <c r="H31" s="229">
        <f>Worksheet!R164</f>
        <v>0</v>
      </c>
      <c r="I31" s="229">
        <f>Worksheet!U164</f>
        <v>0</v>
      </c>
      <c r="J31" s="229">
        <f>Worksheet!X164</f>
        <v>0</v>
      </c>
      <c r="K31" s="133"/>
      <c r="L31" s="134"/>
      <c r="M31" s="135"/>
    </row>
    <row r="32" spans="1:14">
      <c r="A32" s="1838" t="str">
        <f t="shared" si="1"/>
        <v/>
      </c>
      <c r="B32" s="1839"/>
      <c r="C32" s="1840"/>
      <c r="D32" s="171">
        <v>106</v>
      </c>
      <c r="E32" s="180" t="str">
        <f t="shared" ca="1" si="2"/>
        <v/>
      </c>
      <c r="F32" s="229">
        <f>Worksheet!L165</f>
        <v>0</v>
      </c>
      <c r="G32" s="229">
        <f>Worksheet!O165</f>
        <v>0</v>
      </c>
      <c r="H32" s="229">
        <f>Worksheet!R165</f>
        <v>0</v>
      </c>
      <c r="I32" s="229">
        <f>Worksheet!U165</f>
        <v>0</v>
      </c>
      <c r="J32" s="229">
        <f>Worksheet!X165</f>
        <v>0</v>
      </c>
      <c r="K32" s="113"/>
      <c r="L32" s="142"/>
      <c r="M32" s="143"/>
    </row>
    <row r="33" spans="1:13">
      <c r="A33" s="168"/>
      <c r="B33" s="136"/>
      <c r="C33" s="137"/>
      <c r="D33" s="141"/>
      <c r="E33" s="141"/>
      <c r="F33" s="139"/>
      <c r="G33" s="139"/>
      <c r="H33" s="139"/>
      <c r="I33" s="139"/>
      <c r="J33" s="139"/>
      <c r="K33" s="113"/>
      <c r="L33" s="142"/>
      <c r="M33" s="143"/>
    </row>
    <row r="34" spans="1:13" ht="38.25">
      <c r="A34" s="122" t="s">
        <v>130</v>
      </c>
      <c r="B34" s="123" t="s">
        <v>131</v>
      </c>
      <c r="C34" s="124" t="s">
        <v>132</v>
      </c>
      <c r="D34" s="123" t="s">
        <v>163</v>
      </c>
      <c r="E34" s="125"/>
      <c r="F34" s="126">
        <f ca="1">YEAR(TODAY())</f>
        <v>2015</v>
      </c>
      <c r="G34" s="126">
        <f ca="1">F34+1</f>
        <v>2016</v>
      </c>
      <c r="H34" s="126">
        <f ca="1">G34+1</f>
        <v>2017</v>
      </c>
      <c r="I34" s="126">
        <f ca="1">H34+1</f>
        <v>2018</v>
      </c>
      <c r="J34" s="126">
        <f ca="1">I34+1</f>
        <v>2019</v>
      </c>
      <c r="K34" s="122" t="s">
        <v>169</v>
      </c>
      <c r="L34" s="127" t="s">
        <v>133</v>
      </c>
      <c r="M34" s="122" t="s">
        <v>134</v>
      </c>
    </row>
    <row r="35" spans="1:13">
      <c r="A35" s="128">
        <v>1</v>
      </c>
      <c r="B35" s="129">
        <v>1</v>
      </c>
      <c r="C35" s="130" t="s">
        <v>135</v>
      </c>
      <c r="D35" s="129">
        <v>11.95</v>
      </c>
      <c r="E35" s="131" t="s">
        <v>136</v>
      </c>
      <c r="F35" s="132" t="s">
        <v>6</v>
      </c>
      <c r="G35" s="132" t="s">
        <v>6</v>
      </c>
      <c r="H35" s="132" t="s">
        <v>6</v>
      </c>
      <c r="I35" s="132" t="s">
        <v>6</v>
      </c>
      <c r="J35" s="132" t="s">
        <v>6</v>
      </c>
      <c r="K35" s="133">
        <v>5</v>
      </c>
      <c r="L35" s="134">
        <f>K35*B35</f>
        <v>5</v>
      </c>
      <c r="M35" s="135">
        <f>K35-L35</f>
        <v>0</v>
      </c>
    </row>
    <row r="36" spans="1:13">
      <c r="A36" s="113"/>
      <c r="B36" s="136"/>
      <c r="C36" s="137"/>
      <c r="D36" s="136"/>
      <c r="E36" s="138"/>
      <c r="F36" s="139"/>
      <c r="G36" s="139"/>
      <c r="H36" s="139"/>
      <c r="I36" s="139"/>
      <c r="J36" s="139"/>
      <c r="K36" s="133"/>
      <c r="L36" s="134"/>
      <c r="M36" s="135"/>
    </row>
    <row r="37" spans="1:13">
      <c r="A37" s="113"/>
      <c r="B37" s="136"/>
      <c r="C37" s="137"/>
      <c r="D37" s="136">
        <v>21.95</v>
      </c>
      <c r="E37" s="138" t="s">
        <v>136</v>
      </c>
      <c r="F37" s="139" t="s">
        <v>6</v>
      </c>
      <c r="G37" s="139" t="s">
        <v>6</v>
      </c>
      <c r="H37" s="139" t="s">
        <v>6</v>
      </c>
      <c r="I37" s="139" t="s">
        <v>6</v>
      </c>
      <c r="J37" s="139" t="s">
        <v>6</v>
      </c>
      <c r="K37" s="133">
        <v>10</v>
      </c>
      <c r="L37" s="134">
        <f>K37*A35</f>
        <v>10</v>
      </c>
      <c r="M37" s="135">
        <f>K37-L37</f>
        <v>0</v>
      </c>
    </row>
    <row r="38" spans="1:13">
      <c r="A38" s="113"/>
      <c r="B38" s="136"/>
      <c r="C38" s="137"/>
      <c r="D38" s="136">
        <v>22.95</v>
      </c>
      <c r="E38" s="138" t="s">
        <v>137</v>
      </c>
      <c r="F38" s="139" t="s">
        <v>6</v>
      </c>
      <c r="G38" s="139" t="s">
        <v>6</v>
      </c>
      <c r="H38" s="139" t="s">
        <v>6</v>
      </c>
      <c r="I38" s="139" t="s">
        <v>6</v>
      </c>
      <c r="J38" s="139" t="s">
        <v>6</v>
      </c>
      <c r="K38" s="133"/>
      <c r="L38" s="134">
        <f>COUNTIF(F37:J38,"Father")</f>
        <v>10</v>
      </c>
      <c r="M38" s="135">
        <f>COUNTIF(F37:J38,"Mother")</f>
        <v>0</v>
      </c>
    </row>
    <row r="39" spans="1:13">
      <c r="A39" s="113"/>
      <c r="B39" s="136"/>
      <c r="C39" s="137"/>
      <c r="D39" s="136"/>
      <c r="E39" s="138"/>
      <c r="F39" s="139"/>
      <c r="G39" s="139"/>
      <c r="H39" s="139"/>
      <c r="I39" s="139"/>
      <c r="J39" s="139"/>
      <c r="K39" s="133"/>
      <c r="L39" s="134"/>
      <c r="M39" s="135"/>
    </row>
    <row r="40" spans="1:13">
      <c r="A40" s="113"/>
      <c r="B40" s="136"/>
      <c r="C40" s="137"/>
      <c r="D40" s="140">
        <v>31.95</v>
      </c>
      <c r="E40" s="140" t="s">
        <v>136</v>
      </c>
      <c r="F40" s="139" t="s">
        <v>6</v>
      </c>
      <c r="G40" s="139" t="s">
        <v>6</v>
      </c>
      <c r="H40" s="139" t="s">
        <v>6</v>
      </c>
      <c r="I40" s="139" t="s">
        <v>6</v>
      </c>
      <c r="J40" s="139" t="s">
        <v>6</v>
      </c>
      <c r="K40" s="133">
        <v>15</v>
      </c>
      <c r="L40" s="134">
        <f>K40*A35</f>
        <v>15</v>
      </c>
      <c r="M40" s="135">
        <f>K40-L40</f>
        <v>0</v>
      </c>
    </row>
    <row r="41" spans="1:13">
      <c r="A41" s="113"/>
      <c r="B41" s="136"/>
      <c r="C41" s="137"/>
      <c r="D41" s="140">
        <v>32.950000000000003</v>
      </c>
      <c r="E41" s="140" t="s">
        <v>137</v>
      </c>
      <c r="F41" s="139" t="s">
        <v>6</v>
      </c>
      <c r="G41" s="139" t="s">
        <v>6</v>
      </c>
      <c r="H41" s="139" t="s">
        <v>6</v>
      </c>
      <c r="I41" s="139" t="s">
        <v>6</v>
      </c>
      <c r="J41" s="139" t="s">
        <v>6</v>
      </c>
      <c r="K41" s="133"/>
      <c r="L41" s="134">
        <f>COUNTIF(F40:J42,"Father")</f>
        <v>15</v>
      </c>
      <c r="M41" s="135">
        <f>COUNTIF(F40:J42,"Mother")</f>
        <v>0</v>
      </c>
    </row>
    <row r="42" spans="1:13">
      <c r="A42" s="113"/>
      <c r="B42" s="136"/>
      <c r="C42" s="137"/>
      <c r="D42" s="140">
        <v>33.950000000000003</v>
      </c>
      <c r="E42" s="140" t="s">
        <v>138</v>
      </c>
      <c r="F42" s="139" t="s">
        <v>6</v>
      </c>
      <c r="G42" s="139" t="s">
        <v>6</v>
      </c>
      <c r="H42" s="139" t="s">
        <v>6</v>
      </c>
      <c r="I42" s="139" t="s">
        <v>6</v>
      </c>
      <c r="J42" s="139" t="s">
        <v>6</v>
      </c>
      <c r="K42" s="133"/>
      <c r="L42" s="134"/>
      <c r="M42" s="135"/>
    </row>
    <row r="43" spans="1:13">
      <c r="A43" s="113"/>
      <c r="B43" s="136"/>
      <c r="C43" s="137"/>
      <c r="D43" s="140"/>
      <c r="E43" s="140"/>
      <c r="F43" s="139"/>
      <c r="G43" s="139"/>
      <c r="H43" s="139"/>
      <c r="I43" s="139"/>
      <c r="J43" s="139"/>
      <c r="K43" s="133"/>
      <c r="L43" s="134"/>
      <c r="M43" s="135"/>
    </row>
    <row r="44" spans="1:13">
      <c r="A44" s="113"/>
      <c r="B44" s="136"/>
      <c r="C44" s="137"/>
      <c r="D44" s="140">
        <v>41.95</v>
      </c>
      <c r="E44" s="140" t="s">
        <v>136</v>
      </c>
      <c r="F44" s="139" t="s">
        <v>6</v>
      </c>
      <c r="G44" s="139" t="s">
        <v>6</v>
      </c>
      <c r="H44" s="139" t="s">
        <v>6</v>
      </c>
      <c r="I44" s="139" t="s">
        <v>6</v>
      </c>
      <c r="J44" s="139" t="s">
        <v>6</v>
      </c>
      <c r="K44" s="133">
        <v>20</v>
      </c>
      <c r="L44" s="134">
        <f>K44*A35</f>
        <v>20</v>
      </c>
      <c r="M44" s="135">
        <f>K44-L44</f>
        <v>0</v>
      </c>
    </row>
    <row r="45" spans="1:13">
      <c r="A45" s="113"/>
      <c r="B45" s="136"/>
      <c r="C45" s="137"/>
      <c r="D45" s="140">
        <v>42.95</v>
      </c>
      <c r="E45" s="140" t="s">
        <v>137</v>
      </c>
      <c r="F45" s="139" t="s">
        <v>6</v>
      </c>
      <c r="G45" s="139" t="s">
        <v>6</v>
      </c>
      <c r="H45" s="139" t="s">
        <v>6</v>
      </c>
      <c r="I45" s="139" t="s">
        <v>6</v>
      </c>
      <c r="J45" s="139" t="s">
        <v>6</v>
      </c>
      <c r="K45" s="133"/>
      <c r="L45" s="134">
        <f>COUNTIF(F44:J47,"Father")</f>
        <v>20</v>
      </c>
      <c r="M45" s="135">
        <f>COUNTIF(F44:J47,"Mother")</f>
        <v>0</v>
      </c>
    </row>
    <row r="46" spans="1:13">
      <c r="A46" s="113"/>
      <c r="B46" s="136"/>
      <c r="C46" s="137"/>
      <c r="D46" s="140">
        <v>43.95</v>
      </c>
      <c r="E46" s="140" t="s">
        <v>138</v>
      </c>
      <c r="F46" s="139" t="s">
        <v>6</v>
      </c>
      <c r="G46" s="139" t="s">
        <v>6</v>
      </c>
      <c r="H46" s="139" t="s">
        <v>6</v>
      </c>
      <c r="I46" s="139" t="s">
        <v>6</v>
      </c>
      <c r="J46" s="139" t="s">
        <v>6</v>
      </c>
      <c r="K46" s="133"/>
      <c r="L46" s="134"/>
      <c r="M46" s="135"/>
    </row>
    <row r="47" spans="1:13">
      <c r="A47" s="113"/>
      <c r="B47" s="136"/>
      <c r="C47" s="137"/>
      <c r="D47" s="140">
        <v>44.95</v>
      </c>
      <c r="E47" s="140" t="s">
        <v>139</v>
      </c>
      <c r="F47" s="139" t="s">
        <v>6</v>
      </c>
      <c r="G47" s="139" t="s">
        <v>6</v>
      </c>
      <c r="H47" s="139" t="s">
        <v>6</v>
      </c>
      <c r="I47" s="139" t="s">
        <v>6</v>
      </c>
      <c r="J47" s="139" t="s">
        <v>6</v>
      </c>
      <c r="K47" s="133"/>
      <c r="L47" s="134"/>
      <c r="M47" s="135"/>
    </row>
    <row r="48" spans="1:13">
      <c r="A48" s="113"/>
      <c r="B48" s="136"/>
      <c r="C48" s="137"/>
      <c r="D48" s="140"/>
      <c r="E48" s="140"/>
      <c r="F48" s="139"/>
      <c r="G48" s="139"/>
      <c r="H48" s="139"/>
      <c r="I48" s="139"/>
      <c r="J48" s="139"/>
      <c r="K48" s="133"/>
      <c r="L48" s="134"/>
      <c r="M48" s="135"/>
    </row>
    <row r="49" spans="1:13">
      <c r="A49" s="113"/>
      <c r="B49" s="136"/>
      <c r="C49" s="137"/>
      <c r="D49" s="140">
        <v>51.95</v>
      </c>
      <c r="E49" s="140" t="s">
        <v>136</v>
      </c>
      <c r="F49" s="139" t="s">
        <v>6</v>
      </c>
      <c r="G49" s="139" t="s">
        <v>6</v>
      </c>
      <c r="H49" s="139" t="s">
        <v>6</v>
      </c>
      <c r="I49" s="139" t="s">
        <v>6</v>
      </c>
      <c r="J49" s="139" t="s">
        <v>6</v>
      </c>
      <c r="K49" s="133">
        <v>25</v>
      </c>
      <c r="L49" s="134">
        <f>K49*A35</f>
        <v>25</v>
      </c>
      <c r="M49" s="135">
        <f>K49-L49</f>
        <v>0</v>
      </c>
    </row>
    <row r="50" spans="1:13">
      <c r="A50" s="113"/>
      <c r="B50" s="136"/>
      <c r="C50" s="137"/>
      <c r="D50" s="140">
        <v>52.95</v>
      </c>
      <c r="E50" s="140" t="s">
        <v>137</v>
      </c>
      <c r="F50" s="139" t="s">
        <v>6</v>
      </c>
      <c r="G50" s="139" t="s">
        <v>6</v>
      </c>
      <c r="H50" s="139" t="s">
        <v>6</v>
      </c>
      <c r="I50" s="139" t="s">
        <v>6</v>
      </c>
      <c r="J50" s="139" t="s">
        <v>6</v>
      </c>
      <c r="K50" s="133"/>
      <c r="L50" s="134">
        <f>COUNTIF(F49:J53,"Father")</f>
        <v>25</v>
      </c>
      <c r="M50" s="135">
        <f>COUNTIF(F49:J53,"Mother")</f>
        <v>0</v>
      </c>
    </row>
    <row r="51" spans="1:13">
      <c r="A51" s="113"/>
      <c r="B51" s="136"/>
      <c r="C51" s="137"/>
      <c r="D51" s="140">
        <v>53.95</v>
      </c>
      <c r="E51" s="140" t="s">
        <v>138</v>
      </c>
      <c r="F51" s="139" t="s">
        <v>6</v>
      </c>
      <c r="G51" s="139" t="s">
        <v>6</v>
      </c>
      <c r="H51" s="139" t="s">
        <v>6</v>
      </c>
      <c r="I51" s="139" t="s">
        <v>6</v>
      </c>
      <c r="J51" s="139" t="s">
        <v>6</v>
      </c>
      <c r="K51" s="133"/>
      <c r="L51" s="134"/>
      <c r="M51" s="135"/>
    </row>
    <row r="52" spans="1:13">
      <c r="A52" s="113"/>
      <c r="B52" s="136"/>
      <c r="C52" s="137"/>
      <c r="D52" s="140">
        <v>54.95</v>
      </c>
      <c r="E52" s="140" t="s">
        <v>139</v>
      </c>
      <c r="F52" s="139" t="s">
        <v>6</v>
      </c>
      <c r="G52" s="139" t="s">
        <v>6</v>
      </c>
      <c r="H52" s="139" t="s">
        <v>6</v>
      </c>
      <c r="I52" s="139" t="s">
        <v>6</v>
      </c>
      <c r="J52" s="139" t="s">
        <v>6</v>
      </c>
      <c r="K52" s="133"/>
      <c r="L52" s="134"/>
      <c r="M52" s="135"/>
    </row>
    <row r="53" spans="1:13">
      <c r="A53" s="113"/>
      <c r="B53" s="136"/>
      <c r="C53" s="137"/>
      <c r="D53" s="140">
        <v>55.95</v>
      </c>
      <c r="E53" s="140" t="s">
        <v>140</v>
      </c>
      <c r="F53" s="139" t="s">
        <v>6</v>
      </c>
      <c r="G53" s="139" t="s">
        <v>6</v>
      </c>
      <c r="H53" s="139" t="s">
        <v>6</v>
      </c>
      <c r="I53" s="139" t="s">
        <v>6</v>
      </c>
      <c r="J53" s="139" t="s">
        <v>6</v>
      </c>
      <c r="K53" s="133"/>
      <c r="L53" s="134"/>
      <c r="M53" s="135"/>
    </row>
    <row r="54" spans="1:13">
      <c r="A54" s="113"/>
      <c r="B54" s="136"/>
      <c r="C54" s="137"/>
      <c r="D54" s="140"/>
      <c r="E54" s="140"/>
      <c r="F54" s="139"/>
      <c r="G54" s="139"/>
      <c r="H54" s="139"/>
      <c r="I54" s="139"/>
      <c r="J54" s="139"/>
      <c r="K54" s="133"/>
      <c r="L54" s="134"/>
      <c r="M54" s="135"/>
    </row>
    <row r="55" spans="1:13">
      <c r="A55" s="113"/>
      <c r="B55" s="136"/>
      <c r="C55" s="137"/>
      <c r="D55" s="140">
        <v>61.95</v>
      </c>
      <c r="E55" s="140" t="s">
        <v>136</v>
      </c>
      <c r="F55" s="139" t="s">
        <v>6</v>
      </c>
      <c r="G55" s="139" t="s">
        <v>6</v>
      </c>
      <c r="H55" s="139" t="s">
        <v>6</v>
      </c>
      <c r="I55" s="139" t="s">
        <v>6</v>
      </c>
      <c r="J55" s="139" t="s">
        <v>6</v>
      </c>
      <c r="K55" s="133">
        <v>30</v>
      </c>
      <c r="L55" s="134">
        <f>K55*A35</f>
        <v>30</v>
      </c>
      <c r="M55" s="135">
        <f>K55-L55</f>
        <v>0</v>
      </c>
    </row>
    <row r="56" spans="1:13">
      <c r="A56" s="113"/>
      <c r="B56" s="136"/>
      <c r="C56" s="137"/>
      <c r="D56" s="140">
        <v>62.95</v>
      </c>
      <c r="E56" s="140" t="s">
        <v>137</v>
      </c>
      <c r="F56" s="139" t="s">
        <v>6</v>
      </c>
      <c r="G56" s="139" t="s">
        <v>6</v>
      </c>
      <c r="H56" s="139" t="s">
        <v>6</v>
      </c>
      <c r="I56" s="139" t="s">
        <v>6</v>
      </c>
      <c r="J56" s="139" t="s">
        <v>6</v>
      </c>
      <c r="K56" s="133"/>
      <c r="L56" s="134">
        <f>COUNTIF(F55:J60,"Father")</f>
        <v>30</v>
      </c>
      <c r="M56" s="135">
        <f>COUNTIF(F55:J60,"Mother")</f>
        <v>0</v>
      </c>
    </row>
    <row r="57" spans="1:13">
      <c r="A57" s="113"/>
      <c r="B57" s="136"/>
      <c r="C57" s="137"/>
      <c r="D57" s="140">
        <v>63.95</v>
      </c>
      <c r="E57" s="140" t="s">
        <v>138</v>
      </c>
      <c r="F57" s="139" t="s">
        <v>6</v>
      </c>
      <c r="G57" s="139" t="s">
        <v>6</v>
      </c>
      <c r="H57" s="139" t="s">
        <v>6</v>
      </c>
      <c r="I57" s="139" t="s">
        <v>6</v>
      </c>
      <c r="J57" s="139" t="s">
        <v>6</v>
      </c>
      <c r="K57" s="133"/>
      <c r="L57" s="134"/>
      <c r="M57" s="135"/>
    </row>
    <row r="58" spans="1:13">
      <c r="A58" s="113"/>
      <c r="B58" s="136"/>
      <c r="C58" s="137"/>
      <c r="D58" s="140">
        <v>64.95</v>
      </c>
      <c r="E58" s="140" t="s">
        <v>139</v>
      </c>
      <c r="F58" s="139" t="s">
        <v>6</v>
      </c>
      <c r="G58" s="139" t="s">
        <v>6</v>
      </c>
      <c r="H58" s="139" t="s">
        <v>6</v>
      </c>
      <c r="I58" s="139" t="s">
        <v>6</v>
      </c>
      <c r="J58" s="139" t="s">
        <v>6</v>
      </c>
      <c r="K58" s="133"/>
      <c r="L58" s="134"/>
      <c r="M58" s="135"/>
    </row>
    <row r="59" spans="1:13">
      <c r="A59" s="113"/>
      <c r="B59" s="136"/>
      <c r="C59" s="137"/>
      <c r="D59" s="140">
        <v>65.95</v>
      </c>
      <c r="E59" s="140" t="s">
        <v>140</v>
      </c>
      <c r="F59" s="139" t="s">
        <v>6</v>
      </c>
      <c r="G59" s="139" t="s">
        <v>6</v>
      </c>
      <c r="H59" s="139" t="s">
        <v>6</v>
      </c>
      <c r="I59" s="139" t="s">
        <v>6</v>
      </c>
      <c r="J59" s="139" t="s">
        <v>6</v>
      </c>
      <c r="K59" s="133"/>
      <c r="L59" s="134"/>
      <c r="M59" s="135"/>
    </row>
    <row r="60" spans="1:13">
      <c r="A60" s="168"/>
      <c r="B60" s="136"/>
      <c r="C60" s="137"/>
      <c r="D60" s="141">
        <v>66.95</v>
      </c>
      <c r="E60" s="141" t="s">
        <v>141</v>
      </c>
      <c r="F60" s="139" t="s">
        <v>6</v>
      </c>
      <c r="G60" s="139" t="s">
        <v>6</v>
      </c>
      <c r="H60" s="139" t="s">
        <v>6</v>
      </c>
      <c r="I60" s="139" t="s">
        <v>6</v>
      </c>
      <c r="J60" s="139" t="s">
        <v>6</v>
      </c>
      <c r="K60" s="113"/>
      <c r="L60" s="142"/>
      <c r="M60" s="143"/>
    </row>
    <row r="61" spans="1:13">
      <c r="A61" s="128"/>
      <c r="B61" s="129"/>
      <c r="C61" s="130"/>
      <c r="D61" s="160"/>
      <c r="E61" s="160"/>
      <c r="F61" s="132"/>
      <c r="G61" s="132"/>
      <c r="H61" s="132"/>
      <c r="I61" s="132"/>
      <c r="J61" s="132"/>
      <c r="K61" s="128"/>
      <c r="L61" s="145"/>
      <c r="M61" s="146"/>
    </row>
    <row r="62" spans="1:13">
      <c r="A62" s="113"/>
      <c r="B62" s="136"/>
      <c r="C62" s="155"/>
      <c r="D62" s="136"/>
      <c r="E62" s="163"/>
      <c r="F62" s="139"/>
      <c r="G62" s="139"/>
      <c r="H62" s="139"/>
      <c r="I62" s="139"/>
      <c r="J62" s="139"/>
      <c r="K62" s="113"/>
      <c r="L62" s="142"/>
      <c r="M62" s="143"/>
    </row>
    <row r="63" spans="1:13">
      <c r="A63" s="147">
        <v>0.8</v>
      </c>
      <c r="B63" s="148">
        <v>0.8</v>
      </c>
      <c r="C63" s="149" t="s">
        <v>142</v>
      </c>
      <c r="D63" s="140">
        <v>11.8</v>
      </c>
      <c r="E63" s="140" t="s">
        <v>136</v>
      </c>
      <c r="F63" s="140" t="s">
        <v>6</v>
      </c>
      <c r="G63" s="148" t="s">
        <v>6</v>
      </c>
      <c r="H63" s="148" t="s">
        <v>6</v>
      </c>
      <c r="I63" s="148" t="s">
        <v>6</v>
      </c>
      <c r="J63" s="148" t="s">
        <v>7</v>
      </c>
      <c r="K63" s="135">
        <v>5</v>
      </c>
      <c r="L63" s="134">
        <f>K63*A63</f>
        <v>4</v>
      </c>
      <c r="M63" s="135">
        <f>K63-L63</f>
        <v>1</v>
      </c>
    </row>
    <row r="64" spans="1:13">
      <c r="A64" s="135"/>
      <c r="B64" s="148"/>
      <c r="C64" s="147"/>
      <c r="D64" s="140"/>
      <c r="E64" s="140"/>
      <c r="F64" s="140"/>
      <c r="G64" s="148"/>
      <c r="H64" s="148"/>
      <c r="I64" s="148"/>
      <c r="J64" s="148"/>
      <c r="K64" s="135"/>
      <c r="L64" s="150"/>
      <c r="M64" s="135"/>
    </row>
    <row r="65" spans="1:13">
      <c r="A65" s="135"/>
      <c r="B65" s="148"/>
      <c r="C65" s="147"/>
      <c r="D65" s="140">
        <v>21.8</v>
      </c>
      <c r="E65" s="140" t="s">
        <v>136</v>
      </c>
      <c r="F65" s="140" t="s">
        <v>6</v>
      </c>
      <c r="G65" s="773" t="s">
        <v>6</v>
      </c>
      <c r="H65" s="148" t="s">
        <v>6</v>
      </c>
      <c r="I65" s="773" t="s">
        <v>6</v>
      </c>
      <c r="J65" s="148" t="s">
        <v>6</v>
      </c>
      <c r="K65" s="135">
        <v>10</v>
      </c>
      <c r="L65" s="134">
        <f>K65*A63</f>
        <v>8</v>
      </c>
      <c r="M65" s="135">
        <f>K65-L65</f>
        <v>2</v>
      </c>
    </row>
    <row r="66" spans="1:13">
      <c r="A66" s="135"/>
      <c r="B66" s="148"/>
      <c r="C66" s="147"/>
      <c r="D66" s="140">
        <v>22.8</v>
      </c>
      <c r="E66" s="140" t="s">
        <v>137</v>
      </c>
      <c r="F66" s="140" t="s">
        <v>6</v>
      </c>
      <c r="G66" s="773" t="s">
        <v>7</v>
      </c>
      <c r="H66" s="148" t="s">
        <v>6</v>
      </c>
      <c r="I66" s="773" t="s">
        <v>7</v>
      </c>
      <c r="J66" s="148" t="s">
        <v>6</v>
      </c>
      <c r="K66" s="135"/>
      <c r="L66" s="150">
        <f>COUNTIF(F65:J66,"Father")</f>
        <v>8</v>
      </c>
      <c r="M66" s="135">
        <f>COUNTIF(F65:J66,"Mother")</f>
        <v>2</v>
      </c>
    </row>
    <row r="67" spans="1:13">
      <c r="A67" s="135"/>
      <c r="B67" s="148"/>
      <c r="C67" s="147"/>
      <c r="D67" s="140"/>
      <c r="E67" s="140"/>
      <c r="F67" s="140"/>
      <c r="G67" s="148"/>
      <c r="H67" s="148"/>
      <c r="I67" s="148"/>
      <c r="J67" s="148"/>
      <c r="K67" s="135"/>
      <c r="L67" s="150"/>
      <c r="M67" s="135"/>
    </row>
    <row r="68" spans="1:13">
      <c r="A68" s="135"/>
      <c r="B68" s="148"/>
      <c r="C68" s="147"/>
      <c r="D68" s="140">
        <v>31.8</v>
      </c>
      <c r="E68" s="140" t="s">
        <v>136</v>
      </c>
      <c r="F68" s="775" t="s">
        <v>6</v>
      </c>
      <c r="G68" s="148" t="s">
        <v>6</v>
      </c>
      <c r="H68" s="775" t="s">
        <v>6</v>
      </c>
      <c r="I68" s="148" t="s">
        <v>6</v>
      </c>
      <c r="J68" s="775" t="s">
        <v>6</v>
      </c>
      <c r="K68" s="135">
        <v>15</v>
      </c>
      <c r="L68" s="150">
        <f>K68*A63</f>
        <v>12</v>
      </c>
      <c r="M68" s="135">
        <f>K68-L68</f>
        <v>3</v>
      </c>
    </row>
    <row r="69" spans="1:13">
      <c r="A69" s="135"/>
      <c r="B69" s="148"/>
      <c r="C69" s="147"/>
      <c r="D69" s="140">
        <v>32.799999999999997</v>
      </c>
      <c r="E69" s="140" t="s">
        <v>137</v>
      </c>
      <c r="F69" s="140" t="s">
        <v>6</v>
      </c>
      <c r="G69" s="148" t="s">
        <v>6</v>
      </c>
      <c r="H69" s="140" t="s">
        <v>6</v>
      </c>
      <c r="I69" s="148" t="s">
        <v>6</v>
      </c>
      <c r="J69" s="140" t="s">
        <v>6</v>
      </c>
      <c r="K69" s="135"/>
      <c r="L69" s="150">
        <f>COUNTIF(F68:J70,"Father")</f>
        <v>12</v>
      </c>
      <c r="M69" s="135">
        <f>COUNTIF(F68:J70,"Mother")</f>
        <v>3</v>
      </c>
    </row>
    <row r="70" spans="1:13">
      <c r="A70" s="135"/>
      <c r="B70" s="148"/>
      <c r="C70" s="147"/>
      <c r="D70" s="140">
        <v>33.799999999999997</v>
      </c>
      <c r="E70" s="140" t="s">
        <v>138</v>
      </c>
      <c r="F70" s="775" t="s">
        <v>7</v>
      </c>
      <c r="G70" s="148" t="s">
        <v>6</v>
      </c>
      <c r="H70" s="775" t="s">
        <v>7</v>
      </c>
      <c r="I70" s="148" t="s">
        <v>6</v>
      </c>
      <c r="J70" s="775" t="s">
        <v>7</v>
      </c>
      <c r="K70" s="135"/>
      <c r="L70" s="150"/>
      <c r="M70" s="135"/>
    </row>
    <row r="71" spans="1:13">
      <c r="A71" s="135"/>
      <c r="B71" s="148"/>
      <c r="C71" s="147"/>
      <c r="D71" s="140"/>
      <c r="E71" s="140"/>
      <c r="F71" s="140"/>
      <c r="G71" s="148"/>
      <c r="H71" s="148"/>
      <c r="I71" s="148"/>
      <c r="J71" s="148"/>
      <c r="K71" s="135"/>
      <c r="L71" s="150"/>
      <c r="M71" s="135"/>
    </row>
    <row r="72" spans="1:13">
      <c r="A72" s="135"/>
      <c r="B72" s="148"/>
      <c r="C72" s="147"/>
      <c r="D72" s="140">
        <v>41.8</v>
      </c>
      <c r="E72" s="140" t="s">
        <v>136</v>
      </c>
      <c r="F72" s="775" t="s">
        <v>6</v>
      </c>
      <c r="G72" s="775" t="s">
        <v>6</v>
      </c>
      <c r="H72" s="773" t="s">
        <v>6</v>
      </c>
      <c r="I72" s="775" t="s">
        <v>6</v>
      </c>
      <c r="J72" s="140" t="s">
        <v>6</v>
      </c>
      <c r="K72" s="135">
        <v>20</v>
      </c>
      <c r="L72" s="150">
        <f>K72*A63</f>
        <v>16</v>
      </c>
      <c r="M72" s="135">
        <f>K72-L72</f>
        <v>4</v>
      </c>
    </row>
    <row r="73" spans="1:13">
      <c r="A73" s="135"/>
      <c r="B73" s="148"/>
      <c r="C73" s="147"/>
      <c r="D73" s="140">
        <v>42.8</v>
      </c>
      <c r="E73" s="140" t="s">
        <v>137</v>
      </c>
      <c r="F73" s="140" t="s">
        <v>6</v>
      </c>
      <c r="G73" s="148" t="s">
        <v>6</v>
      </c>
      <c r="H73" s="140" t="s">
        <v>6</v>
      </c>
      <c r="I73" s="140" t="s">
        <v>6</v>
      </c>
      <c r="J73" s="140" t="s">
        <v>6</v>
      </c>
      <c r="K73" s="135"/>
      <c r="L73" s="150">
        <f>COUNTIF(F72:J75,"Father")</f>
        <v>16</v>
      </c>
      <c r="M73" s="135">
        <f>COUNTIF(F72:J75,"Mother")</f>
        <v>4</v>
      </c>
    </row>
    <row r="74" spans="1:13">
      <c r="A74" s="135"/>
      <c r="B74" s="148"/>
      <c r="C74" s="147"/>
      <c r="D74" s="140">
        <v>43.8</v>
      </c>
      <c r="E74" s="140" t="s">
        <v>138</v>
      </c>
      <c r="F74" s="140" t="s">
        <v>6</v>
      </c>
      <c r="G74" s="148" t="s">
        <v>6</v>
      </c>
      <c r="H74" s="140" t="s">
        <v>6</v>
      </c>
      <c r="I74" s="140" t="s">
        <v>6</v>
      </c>
      <c r="J74" s="140" t="s">
        <v>6</v>
      </c>
      <c r="K74" s="135"/>
      <c r="L74" s="150"/>
      <c r="M74" s="135"/>
    </row>
    <row r="75" spans="1:13">
      <c r="A75" s="135"/>
      <c r="B75" s="148"/>
      <c r="C75" s="147"/>
      <c r="D75" s="140">
        <v>44.8</v>
      </c>
      <c r="E75" s="140" t="s">
        <v>139</v>
      </c>
      <c r="F75" s="775" t="s">
        <v>7</v>
      </c>
      <c r="G75" s="773" t="s">
        <v>7</v>
      </c>
      <c r="H75" s="775" t="s">
        <v>7</v>
      </c>
      <c r="I75" s="775" t="s">
        <v>7</v>
      </c>
      <c r="J75" s="140" t="s">
        <v>6</v>
      </c>
      <c r="K75" s="135"/>
      <c r="L75" s="150"/>
      <c r="M75" s="135"/>
    </row>
    <row r="76" spans="1:13">
      <c r="A76" s="135"/>
      <c r="B76" s="148"/>
      <c r="C76" s="147"/>
      <c r="D76" s="140"/>
      <c r="E76" s="140"/>
      <c r="F76" s="140"/>
      <c r="G76" s="148"/>
      <c r="H76" s="148"/>
      <c r="I76" s="148"/>
      <c r="J76" s="148"/>
      <c r="K76" s="135"/>
      <c r="L76" s="150"/>
      <c r="M76" s="135"/>
    </row>
    <row r="77" spans="1:13">
      <c r="A77" s="135"/>
      <c r="B77" s="148"/>
      <c r="C77" s="147"/>
      <c r="D77" s="140">
        <v>51.8</v>
      </c>
      <c r="E77" s="140" t="s">
        <v>136</v>
      </c>
      <c r="F77" s="140" t="s">
        <v>6</v>
      </c>
      <c r="G77" s="140" t="s">
        <v>6</v>
      </c>
      <c r="H77" s="140" t="s">
        <v>6</v>
      </c>
      <c r="I77" s="140" t="s">
        <v>6</v>
      </c>
      <c r="J77" s="140" t="s">
        <v>6</v>
      </c>
      <c r="K77" s="135">
        <v>25</v>
      </c>
      <c r="L77" s="150">
        <f>K77*A63</f>
        <v>20</v>
      </c>
      <c r="M77" s="135">
        <f>K77-L77</f>
        <v>5</v>
      </c>
    </row>
    <row r="78" spans="1:13">
      <c r="A78" s="135"/>
      <c r="B78" s="148"/>
      <c r="C78" s="147"/>
      <c r="D78" s="140">
        <v>52.8</v>
      </c>
      <c r="E78" s="140" t="s">
        <v>137</v>
      </c>
      <c r="F78" s="140" t="s">
        <v>6</v>
      </c>
      <c r="G78" s="140" t="s">
        <v>6</v>
      </c>
      <c r="H78" s="140" t="s">
        <v>6</v>
      </c>
      <c r="I78" s="140" t="s">
        <v>6</v>
      </c>
      <c r="J78" s="140" t="s">
        <v>6</v>
      </c>
      <c r="K78" s="135"/>
      <c r="L78" s="150">
        <f>COUNTIF(F77:J81,"Father")</f>
        <v>20</v>
      </c>
      <c r="M78" s="135">
        <f>COUNTIF(F77:J81,"Mother")</f>
        <v>5</v>
      </c>
    </row>
    <row r="79" spans="1:13">
      <c r="A79" s="135"/>
      <c r="B79" s="148"/>
      <c r="C79" s="147"/>
      <c r="D79" s="140">
        <v>53.8</v>
      </c>
      <c r="E79" s="140" t="s">
        <v>138</v>
      </c>
      <c r="F79" s="140" t="s">
        <v>7</v>
      </c>
      <c r="G79" s="140" t="s">
        <v>7</v>
      </c>
      <c r="H79" s="140" t="s">
        <v>7</v>
      </c>
      <c r="I79" s="140" t="s">
        <v>7</v>
      </c>
      <c r="J79" s="140" t="s">
        <v>7</v>
      </c>
      <c r="K79" s="135"/>
      <c r="L79" s="150"/>
      <c r="M79" s="135"/>
    </row>
    <row r="80" spans="1:13">
      <c r="A80" s="135"/>
      <c r="B80" s="148"/>
      <c r="C80" s="147"/>
      <c r="D80" s="140">
        <v>54.8</v>
      </c>
      <c r="E80" s="140" t="s">
        <v>139</v>
      </c>
      <c r="F80" s="140" t="s">
        <v>6</v>
      </c>
      <c r="G80" s="140" t="s">
        <v>6</v>
      </c>
      <c r="H80" s="140" t="s">
        <v>6</v>
      </c>
      <c r="I80" s="140" t="s">
        <v>6</v>
      </c>
      <c r="J80" s="140" t="s">
        <v>6</v>
      </c>
      <c r="K80" s="135"/>
      <c r="L80" s="150"/>
      <c r="M80" s="135"/>
    </row>
    <row r="81" spans="1:13">
      <c r="A81" s="135"/>
      <c r="B81" s="148"/>
      <c r="C81" s="147"/>
      <c r="D81" s="140">
        <v>55.8</v>
      </c>
      <c r="E81" s="140" t="s">
        <v>140</v>
      </c>
      <c r="F81" s="140" t="s">
        <v>6</v>
      </c>
      <c r="G81" s="140" t="s">
        <v>6</v>
      </c>
      <c r="H81" s="140" t="s">
        <v>6</v>
      </c>
      <c r="I81" s="140" t="s">
        <v>6</v>
      </c>
      <c r="J81" s="140" t="s">
        <v>6</v>
      </c>
      <c r="K81" s="135"/>
      <c r="L81" s="150"/>
      <c r="M81" s="135"/>
    </row>
    <row r="82" spans="1:13">
      <c r="A82" s="135"/>
      <c r="B82" s="148"/>
      <c r="C82" s="147"/>
      <c r="D82" s="140"/>
      <c r="E82" s="140"/>
      <c r="F82" s="140"/>
      <c r="G82" s="148"/>
      <c r="H82" s="148"/>
      <c r="I82" s="148"/>
      <c r="J82" s="148"/>
      <c r="K82" s="135"/>
      <c r="L82" s="150"/>
      <c r="M82" s="135"/>
    </row>
    <row r="83" spans="1:13">
      <c r="A83" s="135"/>
      <c r="B83" s="148"/>
      <c r="C83" s="147"/>
      <c r="D83" s="140">
        <v>61.8</v>
      </c>
      <c r="E83" s="140" t="s">
        <v>136</v>
      </c>
      <c r="F83" s="140" t="s">
        <v>6</v>
      </c>
      <c r="G83" s="140" t="s">
        <v>6</v>
      </c>
      <c r="H83" s="140" t="s">
        <v>6</v>
      </c>
      <c r="I83" s="140" t="s">
        <v>6</v>
      </c>
      <c r="J83" s="140" t="s">
        <v>6</v>
      </c>
      <c r="K83" s="135">
        <v>30</v>
      </c>
      <c r="L83" s="150">
        <f>K83*A63</f>
        <v>24</v>
      </c>
      <c r="M83" s="135">
        <f>K83-L83</f>
        <v>6</v>
      </c>
    </row>
    <row r="84" spans="1:13">
      <c r="A84" s="135"/>
      <c r="B84" s="148"/>
      <c r="C84" s="147"/>
      <c r="D84" s="140">
        <v>62.8</v>
      </c>
      <c r="E84" s="140" t="s">
        <v>137</v>
      </c>
      <c r="F84" s="140" t="s">
        <v>6</v>
      </c>
      <c r="G84" s="140" t="s">
        <v>6</v>
      </c>
      <c r="H84" s="775" t="s">
        <v>6</v>
      </c>
      <c r="I84" s="140" t="s">
        <v>6</v>
      </c>
      <c r="J84" s="140" t="s">
        <v>6</v>
      </c>
      <c r="K84" s="135"/>
      <c r="L84" s="150">
        <f>COUNTIF(F83:J88,"Father")</f>
        <v>24</v>
      </c>
      <c r="M84" s="135">
        <f>COUNTIF(F83:J88,"Mother")</f>
        <v>6</v>
      </c>
    </row>
    <row r="85" spans="1:13">
      <c r="A85" s="135"/>
      <c r="B85" s="148"/>
      <c r="C85" s="147"/>
      <c r="D85" s="140">
        <v>63.8</v>
      </c>
      <c r="E85" s="140" t="s">
        <v>138</v>
      </c>
      <c r="F85" s="141" t="s">
        <v>7</v>
      </c>
      <c r="G85" s="141" t="s">
        <v>7</v>
      </c>
      <c r="H85" s="141" t="s">
        <v>7</v>
      </c>
      <c r="I85" s="141" t="s">
        <v>7</v>
      </c>
      <c r="J85" s="141" t="s">
        <v>7</v>
      </c>
      <c r="K85" s="135"/>
      <c r="L85" s="150"/>
      <c r="M85" s="135"/>
    </row>
    <row r="86" spans="1:13">
      <c r="A86" s="135"/>
      <c r="B86" s="148"/>
      <c r="C86" s="147"/>
      <c r="D86" s="140">
        <v>64.8</v>
      </c>
      <c r="E86" s="140" t="s">
        <v>139</v>
      </c>
      <c r="F86" s="140" t="s">
        <v>6</v>
      </c>
      <c r="G86" s="140" t="s">
        <v>6</v>
      </c>
      <c r="H86" s="140" t="s">
        <v>6</v>
      </c>
      <c r="I86" s="140" t="s">
        <v>6</v>
      </c>
      <c r="J86" s="140" t="s">
        <v>6</v>
      </c>
      <c r="K86" s="135"/>
      <c r="L86" s="150"/>
      <c r="M86" s="135"/>
    </row>
    <row r="87" spans="1:13">
      <c r="A87" s="135"/>
      <c r="B87" s="148"/>
      <c r="C87" s="147"/>
      <c r="D87" s="140">
        <v>65.8</v>
      </c>
      <c r="E87" s="140" t="s">
        <v>140</v>
      </c>
      <c r="F87" s="140" t="s">
        <v>6</v>
      </c>
      <c r="G87" s="140" t="s">
        <v>6</v>
      </c>
      <c r="H87" s="775" t="s">
        <v>6</v>
      </c>
      <c r="I87" s="140" t="s">
        <v>6</v>
      </c>
      <c r="J87" s="140" t="s">
        <v>6</v>
      </c>
      <c r="K87" s="135"/>
      <c r="L87" s="150"/>
      <c r="M87" s="135"/>
    </row>
    <row r="88" spans="1:13">
      <c r="A88" s="173"/>
      <c r="B88" s="152"/>
      <c r="C88" s="124"/>
      <c r="D88" s="153">
        <v>66.8</v>
      </c>
      <c r="E88" s="153" t="s">
        <v>141</v>
      </c>
      <c r="F88" s="153" t="s">
        <v>6</v>
      </c>
      <c r="G88" s="153" t="s">
        <v>6</v>
      </c>
      <c r="H88" s="777" t="s">
        <v>6</v>
      </c>
      <c r="I88" s="153" t="s">
        <v>6</v>
      </c>
      <c r="J88" s="777" t="s">
        <v>7</v>
      </c>
      <c r="K88" s="151"/>
      <c r="L88" s="154"/>
      <c r="M88" s="151"/>
    </row>
    <row r="89" spans="1:13">
      <c r="A89" s="143"/>
      <c r="B89" s="136"/>
      <c r="C89" s="155"/>
      <c r="D89" s="141"/>
      <c r="E89" s="141"/>
      <c r="F89" s="141"/>
      <c r="G89" s="141"/>
      <c r="H89" s="141"/>
      <c r="I89" s="141"/>
      <c r="J89" s="141"/>
      <c r="K89" s="143"/>
      <c r="L89" s="156"/>
      <c r="M89" s="143"/>
    </row>
    <row r="90" spans="1:13">
      <c r="A90" s="157">
        <v>0.75</v>
      </c>
      <c r="B90" s="148">
        <v>0.75</v>
      </c>
      <c r="C90" s="158" t="s">
        <v>143</v>
      </c>
      <c r="D90" s="140">
        <v>11.75</v>
      </c>
      <c r="E90" s="140" t="s">
        <v>136</v>
      </c>
      <c r="F90" s="140" t="s">
        <v>6</v>
      </c>
      <c r="G90" s="140" t="s">
        <v>6</v>
      </c>
      <c r="H90" s="140" t="s">
        <v>6</v>
      </c>
      <c r="I90" s="140" t="s">
        <v>7</v>
      </c>
      <c r="J90" s="141"/>
      <c r="K90" s="135">
        <v>4</v>
      </c>
      <c r="L90" s="150">
        <f>K90*A90</f>
        <v>3</v>
      </c>
      <c r="M90" s="135">
        <f>K90-L90</f>
        <v>1</v>
      </c>
    </row>
    <row r="91" spans="1:13">
      <c r="A91" s="135"/>
      <c r="B91" s="148"/>
      <c r="C91" s="147"/>
      <c r="D91" s="140"/>
      <c r="E91" s="140"/>
      <c r="F91" s="140"/>
      <c r="G91" s="148"/>
      <c r="H91" s="148"/>
      <c r="I91" s="148"/>
      <c r="J91" s="141"/>
      <c r="K91" s="135"/>
      <c r="L91" s="150"/>
      <c r="M91" s="135"/>
    </row>
    <row r="92" spans="1:13">
      <c r="A92" s="135"/>
      <c r="B92" s="148"/>
      <c r="C92" s="147"/>
      <c r="D92" s="140">
        <v>21.75</v>
      </c>
      <c r="E92" s="140" t="s">
        <v>136</v>
      </c>
      <c r="F92" s="140" t="s">
        <v>6</v>
      </c>
      <c r="G92" s="775" t="s">
        <v>6</v>
      </c>
      <c r="H92" s="140" t="s">
        <v>6</v>
      </c>
      <c r="I92" s="775" t="s">
        <v>6</v>
      </c>
      <c r="J92" s="141"/>
      <c r="K92" s="135">
        <v>8</v>
      </c>
      <c r="L92" s="150">
        <f>K92*A90</f>
        <v>6</v>
      </c>
      <c r="M92" s="135">
        <f>K92-L92</f>
        <v>2</v>
      </c>
    </row>
    <row r="93" spans="1:13">
      <c r="A93" s="135"/>
      <c r="B93" s="148"/>
      <c r="C93" s="147"/>
      <c r="D93" s="140">
        <v>22.75</v>
      </c>
      <c r="E93" s="140" t="s">
        <v>137</v>
      </c>
      <c r="F93" s="140" t="s">
        <v>6</v>
      </c>
      <c r="G93" s="775" t="s">
        <v>7</v>
      </c>
      <c r="H93" s="140" t="s">
        <v>6</v>
      </c>
      <c r="I93" s="775" t="s">
        <v>7</v>
      </c>
      <c r="J93" s="141"/>
      <c r="K93" s="135"/>
      <c r="L93" s="150">
        <f>COUNTIF(F92:I93,"Father")</f>
        <v>6</v>
      </c>
      <c r="M93" s="135">
        <f>COUNTIF(F92:I93,"Mother")</f>
        <v>2</v>
      </c>
    </row>
    <row r="94" spans="1:13">
      <c r="A94" s="135"/>
      <c r="B94" s="148"/>
      <c r="C94" s="147"/>
      <c r="D94" s="140"/>
      <c r="E94" s="140"/>
      <c r="F94" s="140"/>
      <c r="G94" s="148"/>
      <c r="H94" s="148"/>
      <c r="I94" s="148"/>
      <c r="J94" s="141"/>
      <c r="K94" s="135"/>
      <c r="L94" s="150"/>
      <c r="M94" s="135"/>
    </row>
    <row r="95" spans="1:13">
      <c r="A95" s="135"/>
      <c r="B95" s="148"/>
      <c r="C95" s="147"/>
      <c r="D95" s="140">
        <v>31.75</v>
      </c>
      <c r="E95" s="140" t="s">
        <v>136</v>
      </c>
      <c r="F95" s="140" t="s">
        <v>6</v>
      </c>
      <c r="G95" s="148" t="s">
        <v>6</v>
      </c>
      <c r="H95" s="148" t="s">
        <v>6</v>
      </c>
      <c r="I95" s="148" t="s">
        <v>6</v>
      </c>
      <c r="J95" s="141"/>
      <c r="K95" s="135">
        <v>12</v>
      </c>
      <c r="L95" s="150">
        <f>K95*A90</f>
        <v>9</v>
      </c>
      <c r="M95" s="135">
        <f>K95-L95</f>
        <v>3</v>
      </c>
    </row>
    <row r="96" spans="1:13">
      <c r="A96" s="135"/>
      <c r="B96" s="148"/>
      <c r="C96" s="147"/>
      <c r="D96" s="140">
        <v>32.75</v>
      </c>
      <c r="E96" s="140" t="s">
        <v>137</v>
      </c>
      <c r="F96" s="140" t="s">
        <v>6</v>
      </c>
      <c r="G96" s="148" t="s">
        <v>6</v>
      </c>
      <c r="H96" s="148" t="s">
        <v>6</v>
      </c>
      <c r="I96" s="148" t="s">
        <v>6</v>
      </c>
      <c r="J96" s="141"/>
      <c r="K96" s="135"/>
      <c r="L96" s="150">
        <f>COUNTIF(F95:I97,"Father")</f>
        <v>9</v>
      </c>
      <c r="M96" s="135">
        <f>COUNTIF(F95:I97,"Mother")</f>
        <v>3</v>
      </c>
    </row>
    <row r="97" spans="1:13">
      <c r="A97" s="135"/>
      <c r="B97" s="148"/>
      <c r="C97" s="147"/>
      <c r="D97" s="140">
        <v>33.75</v>
      </c>
      <c r="E97" s="140" t="s">
        <v>138</v>
      </c>
      <c r="F97" s="140" t="s">
        <v>7</v>
      </c>
      <c r="G97" s="140" t="s">
        <v>7</v>
      </c>
      <c r="H97" s="140" t="s">
        <v>7</v>
      </c>
      <c r="I97" s="140" t="s">
        <v>6</v>
      </c>
      <c r="J97" s="141"/>
      <c r="K97" s="135"/>
      <c r="L97" s="150"/>
      <c r="M97" s="135"/>
    </row>
    <row r="98" spans="1:13">
      <c r="A98" s="135"/>
      <c r="B98" s="148"/>
      <c r="C98" s="147"/>
      <c r="D98" s="140"/>
      <c r="E98" s="140"/>
      <c r="F98" s="140"/>
      <c r="G98" s="148"/>
      <c r="H98" s="148"/>
      <c r="I98" s="148"/>
      <c r="J98" s="141"/>
      <c r="K98" s="135"/>
      <c r="L98" s="150"/>
      <c r="M98" s="135"/>
    </row>
    <row r="99" spans="1:13">
      <c r="A99" s="135"/>
      <c r="B99" s="148"/>
      <c r="C99" s="147"/>
      <c r="D99" s="140">
        <v>41.75</v>
      </c>
      <c r="E99" s="140" t="s">
        <v>136</v>
      </c>
      <c r="F99" s="148" t="s">
        <v>6</v>
      </c>
      <c r="G99" s="148" t="s">
        <v>6</v>
      </c>
      <c r="H99" s="148" t="s">
        <v>6</v>
      </c>
      <c r="I99" s="148" t="s">
        <v>6</v>
      </c>
      <c r="J99" s="141"/>
      <c r="K99" s="135">
        <v>16</v>
      </c>
      <c r="L99" s="150">
        <f>K99*A90</f>
        <v>12</v>
      </c>
      <c r="M99" s="135">
        <f>K99-L99</f>
        <v>4</v>
      </c>
    </row>
    <row r="100" spans="1:13">
      <c r="A100" s="135"/>
      <c r="B100" s="148"/>
      <c r="C100" s="147"/>
      <c r="D100" s="140">
        <v>42.75</v>
      </c>
      <c r="E100" s="140" t="s">
        <v>137</v>
      </c>
      <c r="F100" s="148" t="s">
        <v>6</v>
      </c>
      <c r="G100" s="148" t="s">
        <v>6</v>
      </c>
      <c r="H100" s="148" t="s">
        <v>6</v>
      </c>
      <c r="I100" s="148" t="s">
        <v>6</v>
      </c>
      <c r="J100" s="136"/>
      <c r="K100" s="135"/>
      <c r="L100" s="150">
        <f>COUNTIF(F99:I102,"Father")</f>
        <v>12</v>
      </c>
      <c r="M100" s="135">
        <f>COUNTIF(F99:I102,"Mother")</f>
        <v>4</v>
      </c>
    </row>
    <row r="101" spans="1:13">
      <c r="A101" s="135"/>
      <c r="B101" s="148"/>
      <c r="C101" s="147"/>
      <c r="D101" s="140">
        <v>43.75</v>
      </c>
      <c r="E101" s="140" t="s">
        <v>138</v>
      </c>
      <c r="F101" s="148" t="s">
        <v>6</v>
      </c>
      <c r="G101" s="148" t="s">
        <v>6</v>
      </c>
      <c r="H101" s="148" t="s">
        <v>6</v>
      </c>
      <c r="I101" s="148" t="s">
        <v>6</v>
      </c>
      <c r="J101" s="136"/>
      <c r="K101" s="135"/>
      <c r="L101" s="150"/>
      <c r="M101" s="135"/>
    </row>
    <row r="102" spans="1:13">
      <c r="A102" s="135"/>
      <c r="B102" s="148"/>
      <c r="C102" s="147"/>
      <c r="D102" s="140">
        <v>44.75</v>
      </c>
      <c r="E102" s="140" t="s">
        <v>139</v>
      </c>
      <c r="F102" s="140" t="s">
        <v>7</v>
      </c>
      <c r="G102" s="140" t="s">
        <v>7</v>
      </c>
      <c r="H102" s="140" t="s">
        <v>7</v>
      </c>
      <c r="I102" s="140" t="s">
        <v>7</v>
      </c>
      <c r="J102" s="141"/>
      <c r="K102" s="135"/>
      <c r="L102" s="150"/>
      <c r="M102" s="135"/>
    </row>
    <row r="103" spans="1:13">
      <c r="A103" s="135"/>
      <c r="B103" s="148"/>
      <c r="C103" s="147"/>
      <c r="D103" s="140"/>
      <c r="E103" s="140"/>
      <c r="F103" s="140"/>
      <c r="G103" s="148"/>
      <c r="H103" s="148"/>
      <c r="I103" s="148"/>
      <c r="J103" s="141"/>
      <c r="K103" s="135"/>
      <c r="L103" s="150"/>
      <c r="M103" s="135"/>
    </row>
    <row r="104" spans="1:13">
      <c r="A104" s="135"/>
      <c r="B104" s="148"/>
      <c r="C104" s="147"/>
      <c r="D104" s="140">
        <v>51.75</v>
      </c>
      <c r="E104" s="140" t="s">
        <v>136</v>
      </c>
      <c r="F104" s="140" t="s">
        <v>6</v>
      </c>
      <c r="G104" s="140" t="s">
        <v>6</v>
      </c>
      <c r="H104" s="140" t="s">
        <v>6</v>
      </c>
      <c r="I104" s="140" t="s">
        <v>6</v>
      </c>
      <c r="J104" s="141"/>
      <c r="K104" s="135">
        <v>20</v>
      </c>
      <c r="L104" s="150">
        <f>K104*A90</f>
        <v>15</v>
      </c>
      <c r="M104" s="135">
        <f>K104-L104</f>
        <v>5</v>
      </c>
    </row>
    <row r="105" spans="1:13">
      <c r="A105" s="135"/>
      <c r="B105" s="148"/>
      <c r="C105" s="147"/>
      <c r="D105" s="140">
        <v>52.75</v>
      </c>
      <c r="E105" s="140" t="s">
        <v>137</v>
      </c>
      <c r="F105" s="140" t="s">
        <v>6</v>
      </c>
      <c r="G105" s="140" t="s">
        <v>6</v>
      </c>
      <c r="H105" s="140" t="s">
        <v>6</v>
      </c>
      <c r="I105" s="775" t="s">
        <v>6</v>
      </c>
      <c r="J105" s="141"/>
      <c r="K105" s="135"/>
      <c r="L105" s="150">
        <f>COUNTIF(F104:I108,"Father")</f>
        <v>15</v>
      </c>
      <c r="M105" s="135">
        <f>COUNTIF(F104:I108,"Mother")</f>
        <v>5</v>
      </c>
    </row>
    <row r="106" spans="1:13">
      <c r="A106" s="135"/>
      <c r="B106" s="148"/>
      <c r="C106" s="147"/>
      <c r="D106" s="140">
        <v>53.75</v>
      </c>
      <c r="E106" s="140" t="s">
        <v>138</v>
      </c>
      <c r="F106" s="140" t="s">
        <v>6</v>
      </c>
      <c r="G106" s="140" t="s">
        <v>6</v>
      </c>
      <c r="H106" s="140" t="s">
        <v>6</v>
      </c>
      <c r="I106" s="140" t="s">
        <v>6</v>
      </c>
      <c r="J106" s="141"/>
      <c r="K106" s="135"/>
      <c r="L106" s="150"/>
      <c r="M106" s="135"/>
    </row>
    <row r="107" spans="1:13">
      <c r="A107" s="135"/>
      <c r="B107" s="148"/>
      <c r="C107" s="147"/>
      <c r="D107" s="140">
        <v>54.75</v>
      </c>
      <c r="E107" s="140" t="s">
        <v>139</v>
      </c>
      <c r="F107" s="775" t="s">
        <v>7</v>
      </c>
      <c r="G107" s="140" t="s">
        <v>6</v>
      </c>
      <c r="H107" s="140" t="s">
        <v>6</v>
      </c>
      <c r="I107" s="775" t="s">
        <v>6</v>
      </c>
      <c r="J107" s="141"/>
      <c r="K107" s="135"/>
      <c r="L107" s="150"/>
      <c r="M107" s="135"/>
    </row>
    <row r="108" spans="1:13">
      <c r="A108" s="135"/>
      <c r="B108" s="148"/>
      <c r="C108" s="147"/>
      <c r="D108" s="140">
        <v>55.75</v>
      </c>
      <c r="E108" s="140" t="s">
        <v>140</v>
      </c>
      <c r="F108" s="140" t="s">
        <v>7</v>
      </c>
      <c r="G108" s="140" t="s">
        <v>7</v>
      </c>
      <c r="H108" s="140" t="s">
        <v>7</v>
      </c>
      <c r="I108" s="140" t="s">
        <v>7</v>
      </c>
      <c r="J108" s="141"/>
      <c r="K108" s="135"/>
      <c r="L108" s="150"/>
      <c r="M108" s="135"/>
    </row>
    <row r="109" spans="1:13">
      <c r="A109" s="135"/>
      <c r="B109" s="148"/>
      <c r="C109" s="147"/>
      <c r="D109" s="140"/>
      <c r="E109" s="140"/>
      <c r="F109" s="140"/>
      <c r="G109" s="148"/>
      <c r="H109" s="148"/>
      <c r="I109" s="148"/>
      <c r="J109" s="141"/>
      <c r="K109" s="135"/>
      <c r="L109" s="150"/>
      <c r="M109" s="135"/>
    </row>
    <row r="110" spans="1:13">
      <c r="A110" s="135"/>
      <c r="B110" s="148"/>
      <c r="C110" s="147"/>
      <c r="D110" s="140">
        <v>61.75</v>
      </c>
      <c r="E110" s="140" t="s">
        <v>136</v>
      </c>
      <c r="F110" s="140" t="s">
        <v>6</v>
      </c>
      <c r="G110" s="140" t="s">
        <v>6</v>
      </c>
      <c r="H110" s="140" t="s">
        <v>6</v>
      </c>
      <c r="I110" s="140" t="s">
        <v>6</v>
      </c>
      <c r="J110" s="141"/>
      <c r="K110" s="135">
        <v>24</v>
      </c>
      <c r="L110" s="150">
        <f>K110*A90</f>
        <v>18</v>
      </c>
      <c r="M110" s="135">
        <f>K110-L110</f>
        <v>6</v>
      </c>
    </row>
    <row r="111" spans="1:13">
      <c r="A111" s="135"/>
      <c r="B111" s="148"/>
      <c r="C111" s="147"/>
      <c r="D111" s="140">
        <v>62.75</v>
      </c>
      <c r="E111" s="140" t="s">
        <v>137</v>
      </c>
      <c r="F111" s="775" t="s">
        <v>6</v>
      </c>
      <c r="G111" s="140" t="s">
        <v>6</v>
      </c>
      <c r="H111" s="775" t="s">
        <v>6</v>
      </c>
      <c r="I111" s="140" t="s">
        <v>6</v>
      </c>
      <c r="J111" s="141"/>
      <c r="K111" s="135"/>
      <c r="L111" s="150">
        <f>COUNTIF(F110:I115,"Father")</f>
        <v>18</v>
      </c>
      <c r="M111" s="135">
        <f>COUNTIF(F110:I115,"Mother")</f>
        <v>6</v>
      </c>
    </row>
    <row r="112" spans="1:13">
      <c r="A112" s="135"/>
      <c r="B112" s="148"/>
      <c r="C112" s="147"/>
      <c r="D112" s="140">
        <v>63.75</v>
      </c>
      <c r="E112" s="140" t="s">
        <v>138</v>
      </c>
      <c r="F112" s="140" t="s">
        <v>6</v>
      </c>
      <c r="G112" s="140" t="s">
        <v>6</v>
      </c>
      <c r="H112" s="140" t="s">
        <v>6</v>
      </c>
      <c r="I112" s="140" t="s">
        <v>6</v>
      </c>
      <c r="J112" s="141"/>
      <c r="K112" s="135"/>
      <c r="L112" s="150"/>
      <c r="M112" s="135"/>
    </row>
    <row r="113" spans="1:13">
      <c r="A113" s="135"/>
      <c r="B113" s="148"/>
      <c r="C113" s="147"/>
      <c r="D113" s="140">
        <v>64.75</v>
      </c>
      <c r="E113" s="140" t="s">
        <v>139</v>
      </c>
      <c r="F113" s="140" t="s">
        <v>6</v>
      </c>
      <c r="G113" s="140" t="s">
        <v>6</v>
      </c>
      <c r="H113" s="140" t="s">
        <v>6</v>
      </c>
      <c r="I113" s="140" t="s">
        <v>6</v>
      </c>
      <c r="J113" s="141"/>
      <c r="K113" s="135"/>
      <c r="L113" s="150"/>
      <c r="M113" s="135"/>
    </row>
    <row r="114" spans="1:13">
      <c r="A114" s="135"/>
      <c r="B114" s="148"/>
      <c r="C114" s="147"/>
      <c r="D114" s="140">
        <v>65.75</v>
      </c>
      <c r="E114" s="140" t="s">
        <v>140</v>
      </c>
      <c r="F114" s="775" t="s">
        <v>7</v>
      </c>
      <c r="G114" s="140" t="s">
        <v>6</v>
      </c>
      <c r="H114" s="775" t="s">
        <v>7</v>
      </c>
      <c r="I114" s="140" t="s">
        <v>6</v>
      </c>
      <c r="J114" s="141"/>
      <c r="K114" s="135"/>
      <c r="L114" s="150"/>
      <c r="M114" s="135"/>
    </row>
    <row r="115" spans="1:13">
      <c r="A115" s="173"/>
      <c r="B115" s="152"/>
      <c r="C115" s="124"/>
      <c r="D115" s="153">
        <v>66.75</v>
      </c>
      <c r="E115" s="153" t="s">
        <v>141</v>
      </c>
      <c r="F115" s="153" t="s">
        <v>7</v>
      </c>
      <c r="G115" s="153" t="s">
        <v>7</v>
      </c>
      <c r="H115" s="153" t="s">
        <v>7</v>
      </c>
      <c r="I115" s="140" t="s">
        <v>7</v>
      </c>
      <c r="J115" s="153"/>
      <c r="K115" s="151"/>
      <c r="L115" s="154"/>
      <c r="M115" s="151"/>
    </row>
    <row r="116" spans="1:13">
      <c r="A116" s="135"/>
      <c r="B116" s="148"/>
      <c r="C116" s="147"/>
      <c r="D116" s="140"/>
      <c r="E116" s="140"/>
      <c r="F116" s="140"/>
      <c r="G116" s="148"/>
      <c r="H116" s="148"/>
      <c r="I116" s="159"/>
      <c r="J116" s="159"/>
      <c r="K116" s="135"/>
      <c r="L116" s="150"/>
      <c r="M116" s="135"/>
    </row>
    <row r="117" spans="1:13">
      <c r="A117" s="157">
        <v>0.66666666666666663</v>
      </c>
      <c r="B117" s="148">
        <v>0.66666666666666663</v>
      </c>
      <c r="C117" s="158" t="s">
        <v>144</v>
      </c>
      <c r="D117" s="140">
        <v>11.7</v>
      </c>
      <c r="E117" s="140" t="s">
        <v>136</v>
      </c>
      <c r="F117" s="140" t="s">
        <v>6</v>
      </c>
      <c r="G117" s="773" t="s">
        <v>7</v>
      </c>
      <c r="H117" s="773" t="s">
        <v>6</v>
      </c>
      <c r="I117" s="141"/>
      <c r="J117" s="136"/>
      <c r="K117" s="135">
        <v>3</v>
      </c>
      <c r="L117" s="150">
        <f>K117*A117</f>
        <v>2</v>
      </c>
      <c r="M117" s="135">
        <f>K117-L117</f>
        <v>1</v>
      </c>
    </row>
    <row r="118" spans="1:13">
      <c r="A118" s="135"/>
      <c r="B118" s="148"/>
      <c r="C118" s="147"/>
      <c r="D118" s="140"/>
      <c r="E118" s="140"/>
      <c r="F118" s="140"/>
      <c r="G118" s="148"/>
      <c r="H118" s="148"/>
      <c r="I118" s="141"/>
      <c r="J118" s="136"/>
      <c r="K118" s="135"/>
      <c r="L118" s="150"/>
      <c r="M118" s="135"/>
    </row>
    <row r="119" spans="1:13">
      <c r="A119" s="135"/>
      <c r="B119" s="148"/>
      <c r="C119" s="147"/>
      <c r="D119" s="140">
        <v>21.7</v>
      </c>
      <c r="E119" s="140" t="s">
        <v>136</v>
      </c>
      <c r="F119" s="775" t="s">
        <v>6</v>
      </c>
      <c r="G119" s="148" t="s">
        <v>6</v>
      </c>
      <c r="H119" s="773" t="s">
        <v>6</v>
      </c>
      <c r="I119" s="141"/>
      <c r="J119" s="136"/>
      <c r="K119" s="135">
        <v>6</v>
      </c>
      <c r="L119" s="150">
        <f>K119*A117</f>
        <v>4</v>
      </c>
      <c r="M119" s="135">
        <f>K119-L119</f>
        <v>2</v>
      </c>
    </row>
    <row r="120" spans="1:13">
      <c r="A120" s="135"/>
      <c r="B120" s="148"/>
      <c r="C120" s="147"/>
      <c r="D120" s="140">
        <v>22.7</v>
      </c>
      <c r="E120" s="140" t="s">
        <v>137</v>
      </c>
      <c r="F120" s="775" t="s">
        <v>7</v>
      </c>
      <c r="G120" s="773" t="s">
        <v>6</v>
      </c>
      <c r="H120" s="773" t="s">
        <v>7</v>
      </c>
      <c r="I120" s="141"/>
      <c r="J120" s="136"/>
      <c r="K120" s="135"/>
      <c r="L120" s="776">
        <f>COUNTIF(F119:H120,"Father")</f>
        <v>4</v>
      </c>
      <c r="M120" s="135">
        <f>COUNTIF(F119:H120,"Mother")</f>
        <v>2</v>
      </c>
    </row>
    <row r="121" spans="1:13">
      <c r="A121" s="135"/>
      <c r="B121" s="148"/>
      <c r="C121" s="147"/>
      <c r="D121" s="140"/>
      <c r="E121" s="140"/>
      <c r="F121" s="140"/>
      <c r="G121" s="148"/>
      <c r="H121" s="148"/>
      <c r="I121" s="141"/>
      <c r="J121" s="136"/>
      <c r="K121" s="135"/>
      <c r="L121" s="150"/>
      <c r="M121" s="135"/>
    </row>
    <row r="122" spans="1:13">
      <c r="A122" s="135"/>
      <c r="B122" s="148"/>
      <c r="C122" s="147"/>
      <c r="D122" s="140">
        <v>31.7</v>
      </c>
      <c r="E122" s="140" t="s">
        <v>136</v>
      </c>
      <c r="F122" s="140" t="s">
        <v>6</v>
      </c>
      <c r="G122" s="140" t="s">
        <v>6</v>
      </c>
      <c r="H122" s="140" t="s">
        <v>6</v>
      </c>
      <c r="I122" s="141"/>
      <c r="J122" s="141"/>
      <c r="K122" s="135">
        <v>9</v>
      </c>
      <c r="L122" s="150">
        <f>K122*A117</f>
        <v>6</v>
      </c>
      <c r="M122" s="135">
        <f>K122-L122</f>
        <v>3</v>
      </c>
    </row>
    <row r="123" spans="1:13">
      <c r="A123" s="135"/>
      <c r="B123" s="148"/>
      <c r="C123" s="147"/>
      <c r="D123" s="140">
        <v>32.700000000000003</v>
      </c>
      <c r="E123" s="140" t="s">
        <v>137</v>
      </c>
      <c r="F123" s="140" t="s">
        <v>7</v>
      </c>
      <c r="G123" s="140" t="s">
        <v>7</v>
      </c>
      <c r="H123" s="140" t="s">
        <v>7</v>
      </c>
      <c r="I123" s="141"/>
      <c r="J123" s="141"/>
      <c r="K123" s="135"/>
      <c r="L123" s="776">
        <f>COUNTIF(F122:H124,"Father")</f>
        <v>6</v>
      </c>
      <c r="M123" s="135">
        <f>COUNTIF(F122:H124,"Mother")</f>
        <v>3</v>
      </c>
    </row>
    <row r="124" spans="1:13">
      <c r="A124" s="135"/>
      <c r="B124" s="148"/>
      <c r="C124" s="147"/>
      <c r="D124" s="140">
        <v>33.700000000000003</v>
      </c>
      <c r="E124" s="140" t="s">
        <v>138</v>
      </c>
      <c r="F124" s="140" t="s">
        <v>6</v>
      </c>
      <c r="G124" s="140" t="s">
        <v>6</v>
      </c>
      <c r="H124" s="140" t="s">
        <v>6</v>
      </c>
      <c r="I124" s="141"/>
      <c r="J124" s="141"/>
      <c r="K124" s="135"/>
      <c r="L124" s="150"/>
      <c r="M124" s="135"/>
    </row>
    <row r="125" spans="1:13">
      <c r="A125" s="135"/>
      <c r="B125" s="148"/>
      <c r="C125" s="147"/>
      <c r="D125" s="140"/>
      <c r="E125" s="140"/>
      <c r="F125" s="140"/>
      <c r="G125" s="148"/>
      <c r="H125" s="148"/>
      <c r="I125" s="141"/>
      <c r="J125" s="136"/>
      <c r="K125" s="135"/>
      <c r="L125" s="150"/>
      <c r="M125" s="135"/>
    </row>
    <row r="126" spans="1:13">
      <c r="A126" s="135"/>
      <c r="B126" s="148"/>
      <c r="C126" s="147"/>
      <c r="D126" s="140">
        <v>41.7</v>
      </c>
      <c r="E126" s="140" t="s">
        <v>136</v>
      </c>
      <c r="F126" s="775" t="s">
        <v>6</v>
      </c>
      <c r="G126" s="775" t="s">
        <v>6</v>
      </c>
      <c r="H126" s="140" t="s">
        <v>6</v>
      </c>
      <c r="I126" s="141"/>
      <c r="J126" s="141"/>
      <c r="K126" s="135">
        <v>12</v>
      </c>
      <c r="L126" s="150">
        <f>K126*A117</f>
        <v>8</v>
      </c>
      <c r="M126" s="135">
        <f>K126-L126</f>
        <v>4</v>
      </c>
    </row>
    <row r="127" spans="1:13">
      <c r="A127" s="135"/>
      <c r="B127" s="148"/>
      <c r="C127" s="147"/>
      <c r="D127" s="140">
        <v>42.7</v>
      </c>
      <c r="E127" s="140" t="s">
        <v>137</v>
      </c>
      <c r="F127" s="140" t="s">
        <v>7</v>
      </c>
      <c r="G127" s="140" t="s">
        <v>7</v>
      </c>
      <c r="H127" s="140" t="s">
        <v>7</v>
      </c>
      <c r="I127" s="141"/>
      <c r="J127" s="141"/>
      <c r="K127" s="135"/>
      <c r="L127" s="776">
        <f>COUNTIF(F126:H129,"Father")</f>
        <v>8</v>
      </c>
      <c r="M127" s="135">
        <f>COUNTIF(F126:H129,"Mother")</f>
        <v>4</v>
      </c>
    </row>
    <row r="128" spans="1:13">
      <c r="A128" s="135"/>
      <c r="B128" s="148"/>
      <c r="C128" s="147"/>
      <c r="D128" s="140">
        <v>43.7</v>
      </c>
      <c r="E128" s="140" t="s">
        <v>138</v>
      </c>
      <c r="F128" s="140" t="s">
        <v>6</v>
      </c>
      <c r="G128" s="775" t="s">
        <v>6</v>
      </c>
      <c r="H128" s="775" t="s">
        <v>6</v>
      </c>
      <c r="I128" s="141"/>
      <c r="J128" s="141"/>
      <c r="K128" s="135"/>
      <c r="L128" s="150"/>
      <c r="M128" s="135"/>
    </row>
    <row r="129" spans="1:13">
      <c r="A129" s="135"/>
      <c r="B129" s="148"/>
      <c r="C129" s="147"/>
      <c r="D129" s="140">
        <v>44.7</v>
      </c>
      <c r="E129" s="140" t="s">
        <v>139</v>
      </c>
      <c r="F129" s="140" t="s">
        <v>6</v>
      </c>
      <c r="G129" s="773" t="s">
        <v>7</v>
      </c>
      <c r="H129" s="773" t="s">
        <v>6</v>
      </c>
      <c r="I129" s="141"/>
      <c r="J129" s="141"/>
      <c r="K129" s="135"/>
      <c r="L129" s="150"/>
      <c r="M129" s="135"/>
    </row>
    <row r="130" spans="1:13">
      <c r="A130" s="135"/>
      <c r="B130" s="148"/>
      <c r="C130" s="147"/>
      <c r="D130" s="140"/>
      <c r="E130" s="140"/>
      <c r="F130" s="140"/>
      <c r="G130" s="148"/>
      <c r="H130" s="148"/>
      <c r="I130" s="141"/>
      <c r="J130" s="136"/>
      <c r="K130" s="135"/>
      <c r="L130" s="150"/>
      <c r="M130" s="135"/>
    </row>
    <row r="131" spans="1:13">
      <c r="A131" s="135"/>
      <c r="B131" s="148"/>
      <c r="C131" s="147"/>
      <c r="D131" s="140">
        <v>51.7</v>
      </c>
      <c r="E131" s="140" t="s">
        <v>136</v>
      </c>
      <c r="F131" s="140" t="s">
        <v>6</v>
      </c>
      <c r="G131" s="140" t="s">
        <v>6</v>
      </c>
      <c r="H131" s="140" t="s">
        <v>6</v>
      </c>
      <c r="I131" s="141"/>
      <c r="J131" s="141"/>
      <c r="K131" s="135">
        <v>15</v>
      </c>
      <c r="L131" s="150">
        <f>K131*A117</f>
        <v>10</v>
      </c>
      <c r="M131" s="135">
        <f>K131-L131</f>
        <v>5</v>
      </c>
    </row>
    <row r="132" spans="1:13">
      <c r="A132" s="135"/>
      <c r="B132" s="148"/>
      <c r="C132" s="147"/>
      <c r="D132" s="140">
        <v>52.7</v>
      </c>
      <c r="E132" s="140" t="s">
        <v>137</v>
      </c>
      <c r="F132" s="140" t="s">
        <v>7</v>
      </c>
      <c r="G132" s="140" t="s">
        <v>7</v>
      </c>
      <c r="H132" s="140" t="s">
        <v>7</v>
      </c>
      <c r="I132" s="141"/>
      <c r="J132" s="141"/>
      <c r="K132" s="135"/>
      <c r="L132" s="776">
        <f>COUNTIF(F131:H135,"Father")</f>
        <v>10</v>
      </c>
      <c r="M132" s="135">
        <f>COUNTIF(F131:H135,"Mother")</f>
        <v>5</v>
      </c>
    </row>
    <row r="133" spans="1:13">
      <c r="A133" s="135"/>
      <c r="B133" s="148"/>
      <c r="C133" s="147"/>
      <c r="D133" s="140">
        <v>53.7</v>
      </c>
      <c r="E133" s="140" t="s">
        <v>138</v>
      </c>
      <c r="F133" s="140" t="s">
        <v>6</v>
      </c>
      <c r="G133" s="140" t="s">
        <v>6</v>
      </c>
      <c r="H133" s="140" t="s">
        <v>6</v>
      </c>
      <c r="I133" s="141"/>
      <c r="J133" s="141"/>
      <c r="K133" s="135"/>
      <c r="L133" s="150"/>
      <c r="M133" s="135"/>
    </row>
    <row r="134" spans="1:13">
      <c r="A134" s="135"/>
      <c r="B134" s="148"/>
      <c r="C134" s="147"/>
      <c r="D134" s="140">
        <v>54.7</v>
      </c>
      <c r="E134" s="140" t="s">
        <v>139</v>
      </c>
      <c r="F134" s="140" t="s">
        <v>6</v>
      </c>
      <c r="G134" s="140" t="s">
        <v>6</v>
      </c>
      <c r="H134" s="140" t="s">
        <v>6</v>
      </c>
      <c r="I134" s="141"/>
      <c r="J134" s="141"/>
      <c r="K134" s="135"/>
      <c r="L134" s="150"/>
      <c r="M134" s="135"/>
    </row>
    <row r="135" spans="1:13">
      <c r="A135" s="135"/>
      <c r="B135" s="148"/>
      <c r="C135" s="147"/>
      <c r="D135" s="140">
        <v>55.7</v>
      </c>
      <c r="E135" s="140" t="s">
        <v>140</v>
      </c>
      <c r="F135" s="140" t="s">
        <v>7</v>
      </c>
      <c r="G135" s="775" t="s">
        <v>6</v>
      </c>
      <c r="H135" s="775" t="s">
        <v>7</v>
      </c>
      <c r="I135" s="141"/>
      <c r="J135" s="141"/>
      <c r="K135" s="135"/>
      <c r="L135" s="150"/>
      <c r="M135" s="135"/>
    </row>
    <row r="136" spans="1:13">
      <c r="A136" s="135"/>
      <c r="B136" s="148"/>
      <c r="C136" s="147"/>
      <c r="D136" s="140"/>
      <c r="E136" s="140"/>
      <c r="F136" s="140"/>
      <c r="G136" s="148"/>
      <c r="H136" s="148"/>
      <c r="I136" s="141"/>
      <c r="J136" s="136"/>
      <c r="K136" s="135"/>
      <c r="L136" s="150"/>
      <c r="M136" s="135"/>
    </row>
    <row r="137" spans="1:13">
      <c r="A137" s="135"/>
      <c r="B137" s="148"/>
      <c r="C137" s="147"/>
      <c r="D137" s="140">
        <v>61.7</v>
      </c>
      <c r="E137" s="140" t="s">
        <v>136</v>
      </c>
      <c r="F137" s="140" t="s">
        <v>6</v>
      </c>
      <c r="G137" s="140" t="s">
        <v>6</v>
      </c>
      <c r="H137" s="140" t="s">
        <v>6</v>
      </c>
      <c r="I137" s="141"/>
      <c r="J137" s="141"/>
      <c r="K137" s="135">
        <v>18</v>
      </c>
      <c r="L137" s="150">
        <f>K137*A117</f>
        <v>12</v>
      </c>
      <c r="M137" s="135">
        <f>K137-L137</f>
        <v>6</v>
      </c>
    </row>
    <row r="138" spans="1:13">
      <c r="A138" s="135"/>
      <c r="B138" s="148"/>
      <c r="C138" s="147"/>
      <c r="D138" s="140">
        <v>62.7</v>
      </c>
      <c r="E138" s="140" t="s">
        <v>137</v>
      </c>
      <c r="F138" s="140" t="s">
        <v>7</v>
      </c>
      <c r="G138" s="140" t="s">
        <v>7</v>
      </c>
      <c r="H138" s="140" t="s">
        <v>7</v>
      </c>
      <c r="I138" s="141"/>
      <c r="J138" s="141"/>
      <c r="K138" s="135"/>
      <c r="L138" s="776">
        <f>COUNTIF(F137:H142,"Father")</f>
        <v>12</v>
      </c>
      <c r="M138" s="135">
        <f>COUNTIF(F137:H142,"Mother")</f>
        <v>6</v>
      </c>
    </row>
    <row r="139" spans="1:13">
      <c r="A139" s="135"/>
      <c r="B139" s="148"/>
      <c r="C139" s="147"/>
      <c r="D139" s="140">
        <v>63.7</v>
      </c>
      <c r="E139" s="140" t="s">
        <v>138</v>
      </c>
      <c r="F139" s="140" t="s">
        <v>6</v>
      </c>
      <c r="G139" s="140" t="s">
        <v>6</v>
      </c>
      <c r="H139" s="140" t="s">
        <v>6</v>
      </c>
      <c r="I139" s="141"/>
      <c r="J139" s="141"/>
      <c r="K139" s="135"/>
      <c r="L139" s="150"/>
      <c r="M139" s="135"/>
    </row>
    <row r="140" spans="1:13">
      <c r="A140" s="135"/>
      <c r="B140" s="148"/>
      <c r="C140" s="147"/>
      <c r="D140" s="140">
        <v>64.7</v>
      </c>
      <c r="E140" s="140" t="s">
        <v>139</v>
      </c>
      <c r="F140" s="140" t="s">
        <v>6</v>
      </c>
      <c r="G140" s="140" t="s">
        <v>6</v>
      </c>
      <c r="H140" s="140" t="s">
        <v>6</v>
      </c>
      <c r="I140" s="141"/>
      <c r="J140" s="141"/>
      <c r="K140" s="135"/>
      <c r="L140" s="150"/>
      <c r="M140" s="135"/>
    </row>
    <row r="141" spans="1:13">
      <c r="A141" s="135"/>
      <c r="B141" s="148"/>
      <c r="C141" s="147"/>
      <c r="D141" s="140">
        <v>65.7</v>
      </c>
      <c r="E141" s="140" t="s">
        <v>140</v>
      </c>
      <c r="F141" s="140" t="s">
        <v>7</v>
      </c>
      <c r="G141" s="140" t="s">
        <v>7</v>
      </c>
      <c r="H141" s="140" t="s">
        <v>7</v>
      </c>
      <c r="I141" s="141"/>
      <c r="J141" s="141"/>
      <c r="K141" s="135"/>
      <c r="L141" s="150"/>
      <c r="M141" s="135"/>
    </row>
    <row r="142" spans="1:13">
      <c r="A142" s="173"/>
      <c r="B142" s="152"/>
      <c r="C142" s="124"/>
      <c r="D142" s="153">
        <v>66.7</v>
      </c>
      <c r="E142" s="153" t="s">
        <v>141</v>
      </c>
      <c r="F142" s="153" t="s">
        <v>6</v>
      </c>
      <c r="G142" s="153" t="s">
        <v>6</v>
      </c>
      <c r="H142" s="153" t="s">
        <v>6</v>
      </c>
      <c r="I142" s="153"/>
      <c r="J142" s="153"/>
      <c r="K142" s="151"/>
      <c r="L142" s="154"/>
      <c r="M142" s="151"/>
    </row>
    <row r="143" spans="1:13">
      <c r="A143" s="135"/>
      <c r="B143" s="148"/>
      <c r="C143" s="147"/>
      <c r="D143" s="140"/>
      <c r="E143" s="140"/>
      <c r="F143" s="140"/>
      <c r="G143" s="148"/>
      <c r="H143" s="148"/>
      <c r="I143" s="148"/>
      <c r="J143" s="148"/>
      <c r="K143" s="135"/>
      <c r="L143" s="150"/>
      <c r="M143" s="135"/>
    </row>
    <row r="144" spans="1:13">
      <c r="A144" s="157">
        <v>0.6</v>
      </c>
      <c r="B144" s="148">
        <v>0.6</v>
      </c>
      <c r="C144" s="158" t="s">
        <v>145</v>
      </c>
      <c r="D144" s="140">
        <v>11.6</v>
      </c>
      <c r="E144" s="140" t="s">
        <v>136</v>
      </c>
      <c r="F144" s="140" t="s">
        <v>6</v>
      </c>
      <c r="G144" s="148" t="s">
        <v>7</v>
      </c>
      <c r="H144" s="148" t="s">
        <v>6</v>
      </c>
      <c r="I144" s="148" t="s">
        <v>7</v>
      </c>
      <c r="J144" s="148" t="s">
        <v>6</v>
      </c>
      <c r="K144" s="135">
        <v>5</v>
      </c>
      <c r="L144" s="150">
        <f>K144*A144</f>
        <v>3</v>
      </c>
      <c r="M144" s="135">
        <f>K144-L144</f>
        <v>2</v>
      </c>
    </row>
    <row r="145" spans="1:13">
      <c r="A145" s="135"/>
      <c r="B145" s="148"/>
      <c r="C145" s="147"/>
      <c r="D145" s="140"/>
      <c r="E145" s="140"/>
      <c r="F145" s="140"/>
      <c r="G145" s="148"/>
      <c r="H145" s="148"/>
      <c r="I145" s="148"/>
      <c r="J145" s="148"/>
      <c r="K145" s="135"/>
      <c r="L145" s="150"/>
      <c r="M145" s="135"/>
    </row>
    <row r="146" spans="1:13">
      <c r="A146" s="135"/>
      <c r="B146" s="148"/>
      <c r="C146" s="147"/>
      <c r="D146" s="140">
        <v>21.6</v>
      </c>
      <c r="E146" s="140" t="s">
        <v>136</v>
      </c>
      <c r="F146" s="140" t="s">
        <v>6</v>
      </c>
      <c r="G146" s="148" t="s">
        <v>6</v>
      </c>
      <c r="H146" s="148" t="s">
        <v>6</v>
      </c>
      <c r="I146" s="148" t="s">
        <v>6</v>
      </c>
      <c r="J146" s="148" t="s">
        <v>6</v>
      </c>
      <c r="K146" s="135">
        <v>10</v>
      </c>
      <c r="L146" s="150">
        <f>K146*A144</f>
        <v>6</v>
      </c>
      <c r="M146" s="135">
        <f>K146-L146</f>
        <v>4</v>
      </c>
    </row>
    <row r="147" spans="1:13">
      <c r="A147" s="135"/>
      <c r="B147" s="148"/>
      <c r="C147" s="147"/>
      <c r="D147" s="140">
        <v>22.6</v>
      </c>
      <c r="E147" s="140" t="s">
        <v>137</v>
      </c>
      <c r="F147" s="140" t="s">
        <v>7</v>
      </c>
      <c r="G147" s="148" t="s">
        <v>7</v>
      </c>
      <c r="H147" s="773" t="s">
        <v>6</v>
      </c>
      <c r="I147" s="148" t="s">
        <v>7</v>
      </c>
      <c r="J147" s="773" t="s">
        <v>7</v>
      </c>
      <c r="K147" s="135"/>
      <c r="L147" s="150">
        <f>COUNTIF(F146:J147,"Father")</f>
        <v>6</v>
      </c>
      <c r="M147" s="135">
        <f>COUNTIF(F146:J147,"Mother")</f>
        <v>4</v>
      </c>
    </row>
    <row r="148" spans="1:13">
      <c r="A148" s="135"/>
      <c r="B148" s="148"/>
      <c r="C148" s="147"/>
      <c r="D148" s="140"/>
      <c r="E148" s="140"/>
      <c r="F148" s="140"/>
      <c r="G148" s="148"/>
      <c r="H148" s="148"/>
      <c r="I148" s="148"/>
      <c r="J148" s="148"/>
      <c r="K148" s="135"/>
      <c r="L148" s="150"/>
      <c r="M148" s="135"/>
    </row>
    <row r="149" spans="1:13">
      <c r="A149" s="135"/>
      <c r="B149" s="148"/>
      <c r="C149" s="147"/>
      <c r="D149" s="140">
        <v>31.6</v>
      </c>
      <c r="E149" s="140" t="s">
        <v>136</v>
      </c>
      <c r="F149" s="140" t="s">
        <v>6</v>
      </c>
      <c r="G149" s="140" t="s">
        <v>6</v>
      </c>
      <c r="H149" s="775" t="s">
        <v>6</v>
      </c>
      <c r="I149" s="140" t="s">
        <v>6</v>
      </c>
      <c r="J149" s="140" t="s">
        <v>6</v>
      </c>
      <c r="K149" s="135">
        <v>15</v>
      </c>
      <c r="L149" s="150">
        <f>K149*A144</f>
        <v>9</v>
      </c>
      <c r="M149" s="135">
        <f>K149-L149</f>
        <v>6</v>
      </c>
    </row>
    <row r="150" spans="1:13">
      <c r="A150" s="135"/>
      <c r="B150" s="148"/>
      <c r="C150" s="147"/>
      <c r="D150" s="140">
        <v>32.6</v>
      </c>
      <c r="E150" s="140" t="s">
        <v>137</v>
      </c>
      <c r="F150" s="140" t="s">
        <v>7</v>
      </c>
      <c r="G150" s="140" t="s">
        <v>7</v>
      </c>
      <c r="H150" s="140" t="s">
        <v>7</v>
      </c>
      <c r="I150" s="140" t="s">
        <v>7</v>
      </c>
      <c r="J150" s="775" t="s">
        <v>7</v>
      </c>
      <c r="K150" s="135"/>
      <c r="L150" s="150">
        <f>COUNTIF(F149:J151,"Father")</f>
        <v>9</v>
      </c>
      <c r="M150" s="135">
        <f>COUNTIF(F149:J151,"Mother")</f>
        <v>6</v>
      </c>
    </row>
    <row r="151" spans="1:13">
      <c r="A151" s="135"/>
      <c r="B151" s="148"/>
      <c r="C151" s="147"/>
      <c r="D151" s="140">
        <v>33.6</v>
      </c>
      <c r="E151" s="140" t="s">
        <v>138</v>
      </c>
      <c r="F151" s="140" t="s">
        <v>6</v>
      </c>
      <c r="G151" s="775" t="s">
        <v>6</v>
      </c>
      <c r="H151" s="775" t="s">
        <v>7</v>
      </c>
      <c r="I151" s="775" t="s">
        <v>6</v>
      </c>
      <c r="J151" s="775" t="s">
        <v>6</v>
      </c>
      <c r="K151" s="135"/>
      <c r="L151" s="150"/>
      <c r="M151" s="135"/>
    </row>
    <row r="152" spans="1:13">
      <c r="A152" s="135"/>
      <c r="B152" s="148"/>
      <c r="C152" s="147"/>
      <c r="D152" s="140"/>
      <c r="E152" s="140"/>
      <c r="F152" s="140"/>
      <c r="G152" s="148"/>
      <c r="H152" s="148"/>
      <c r="I152" s="148"/>
      <c r="J152" s="148"/>
      <c r="K152" s="135"/>
      <c r="L152" s="150"/>
      <c r="M152" s="135"/>
    </row>
    <row r="153" spans="1:13">
      <c r="A153" s="135"/>
      <c r="B153" s="148"/>
      <c r="C153" s="147"/>
      <c r="D153" s="140">
        <v>41.6</v>
      </c>
      <c r="E153" s="140" t="s">
        <v>136</v>
      </c>
      <c r="F153" s="140" t="s">
        <v>6</v>
      </c>
      <c r="G153" s="140" t="s">
        <v>6</v>
      </c>
      <c r="H153" s="140" t="s">
        <v>6</v>
      </c>
      <c r="I153" s="140" t="s">
        <v>6</v>
      </c>
      <c r="J153" s="140" t="s">
        <v>6</v>
      </c>
      <c r="K153" s="135">
        <v>20</v>
      </c>
      <c r="L153" s="150">
        <f>K153*A144</f>
        <v>12</v>
      </c>
      <c r="M153" s="135">
        <f>K153-L153</f>
        <v>8</v>
      </c>
    </row>
    <row r="154" spans="1:13">
      <c r="A154" s="135"/>
      <c r="B154" s="148"/>
      <c r="C154" s="147"/>
      <c r="D154" s="140">
        <v>42.6</v>
      </c>
      <c r="E154" s="140" t="s">
        <v>137</v>
      </c>
      <c r="F154" s="140" t="s">
        <v>7</v>
      </c>
      <c r="G154" s="140" t="s">
        <v>7</v>
      </c>
      <c r="H154" s="140" t="s">
        <v>7</v>
      </c>
      <c r="I154" s="140" t="s">
        <v>7</v>
      </c>
      <c r="J154" s="140" t="s">
        <v>7</v>
      </c>
      <c r="K154" s="135"/>
      <c r="L154" s="150">
        <f>COUNTIF(F153:J156,"Father")</f>
        <v>12</v>
      </c>
      <c r="M154" s="135">
        <f>COUNTIF(F153:J156,"Mother")</f>
        <v>8</v>
      </c>
    </row>
    <row r="155" spans="1:13">
      <c r="A155" s="135"/>
      <c r="B155" s="148"/>
      <c r="C155" s="147"/>
      <c r="D155" s="140">
        <v>43.6</v>
      </c>
      <c r="E155" s="140" t="s">
        <v>138</v>
      </c>
      <c r="F155" s="775" t="s">
        <v>6</v>
      </c>
      <c r="G155" s="140" t="s">
        <v>6</v>
      </c>
      <c r="H155" s="775" t="s">
        <v>6</v>
      </c>
      <c r="I155" s="140" t="s">
        <v>6</v>
      </c>
      <c r="J155" s="775" t="s">
        <v>6</v>
      </c>
      <c r="K155" s="135"/>
      <c r="L155" s="150"/>
      <c r="M155" s="135"/>
    </row>
    <row r="156" spans="1:13">
      <c r="A156" s="135"/>
      <c r="B156" s="148"/>
      <c r="C156" s="147"/>
      <c r="D156" s="140">
        <v>44.6</v>
      </c>
      <c r="E156" s="140" t="s">
        <v>139</v>
      </c>
      <c r="F156" s="775" t="s">
        <v>7</v>
      </c>
      <c r="G156" s="140" t="s">
        <v>6</v>
      </c>
      <c r="H156" s="775" t="s">
        <v>7</v>
      </c>
      <c r="I156" s="140" t="s">
        <v>6</v>
      </c>
      <c r="J156" s="775" t="s">
        <v>7</v>
      </c>
      <c r="K156" s="135"/>
      <c r="L156" s="150"/>
      <c r="M156" s="135"/>
    </row>
    <row r="157" spans="1:13">
      <c r="A157" s="135"/>
      <c r="B157" s="148"/>
      <c r="C157" s="147"/>
      <c r="D157" s="140"/>
      <c r="E157" s="140"/>
      <c r="F157" s="140"/>
      <c r="G157" s="148"/>
      <c r="H157" s="148"/>
      <c r="I157" s="148"/>
      <c r="J157" s="148"/>
      <c r="K157" s="135"/>
      <c r="L157" s="150"/>
      <c r="M157" s="135"/>
    </row>
    <row r="158" spans="1:13">
      <c r="A158" s="135"/>
      <c r="B158" s="148"/>
      <c r="C158" s="147"/>
      <c r="D158" s="140">
        <v>51.6</v>
      </c>
      <c r="E158" s="140" t="s">
        <v>136</v>
      </c>
      <c r="F158" s="140" t="s">
        <v>6</v>
      </c>
      <c r="G158" s="140" t="s">
        <v>6</v>
      </c>
      <c r="H158" s="140" t="s">
        <v>6</v>
      </c>
      <c r="I158" s="140" t="s">
        <v>6</v>
      </c>
      <c r="J158" s="140" t="s">
        <v>6</v>
      </c>
      <c r="K158" s="135">
        <v>25</v>
      </c>
      <c r="L158" s="150">
        <f>K158*A144</f>
        <v>15</v>
      </c>
      <c r="M158" s="135">
        <f>K158-L158</f>
        <v>10</v>
      </c>
    </row>
    <row r="159" spans="1:13">
      <c r="A159" s="135"/>
      <c r="B159" s="148"/>
      <c r="C159" s="147"/>
      <c r="D159" s="140">
        <v>52.6</v>
      </c>
      <c r="E159" s="140" t="s">
        <v>137</v>
      </c>
      <c r="F159" s="140" t="s">
        <v>7</v>
      </c>
      <c r="G159" s="140" t="s">
        <v>7</v>
      </c>
      <c r="H159" s="140" t="s">
        <v>7</v>
      </c>
      <c r="I159" s="140" t="s">
        <v>7</v>
      </c>
      <c r="J159" s="140" t="s">
        <v>7</v>
      </c>
      <c r="K159" s="135"/>
      <c r="L159" s="150">
        <f>COUNTIF(F158:J162,"Father")</f>
        <v>15</v>
      </c>
      <c r="M159" s="135">
        <f>COUNTIF(F158:J162,"Mother")</f>
        <v>10</v>
      </c>
    </row>
    <row r="160" spans="1:13">
      <c r="A160" s="135"/>
      <c r="B160" s="148"/>
      <c r="C160" s="147"/>
      <c r="D160" s="140">
        <v>53.6</v>
      </c>
      <c r="E160" s="140" t="s">
        <v>138</v>
      </c>
      <c r="F160" s="140" t="s">
        <v>6</v>
      </c>
      <c r="G160" s="140" t="s">
        <v>6</v>
      </c>
      <c r="H160" s="140" t="s">
        <v>6</v>
      </c>
      <c r="I160" s="140" t="s">
        <v>6</v>
      </c>
      <c r="J160" s="140" t="s">
        <v>6</v>
      </c>
      <c r="K160" s="135"/>
      <c r="L160" s="150"/>
      <c r="M160" s="135"/>
    </row>
    <row r="161" spans="1:13">
      <c r="A161" s="135"/>
      <c r="B161" s="148"/>
      <c r="C161" s="147"/>
      <c r="D161" s="140">
        <v>54.6</v>
      </c>
      <c r="E161" s="140" t="s">
        <v>139</v>
      </c>
      <c r="F161" s="140" t="s">
        <v>7</v>
      </c>
      <c r="G161" s="140" t="s">
        <v>7</v>
      </c>
      <c r="H161" s="140" t="s">
        <v>7</v>
      </c>
      <c r="I161" s="140" t="s">
        <v>7</v>
      </c>
      <c r="J161" s="140" t="s">
        <v>7</v>
      </c>
      <c r="K161" s="135"/>
      <c r="L161" s="150"/>
      <c r="M161" s="135"/>
    </row>
    <row r="162" spans="1:13">
      <c r="A162" s="135"/>
      <c r="B162" s="148"/>
      <c r="C162" s="147"/>
      <c r="D162" s="140">
        <v>55.6</v>
      </c>
      <c r="E162" s="140" t="s">
        <v>140</v>
      </c>
      <c r="F162" s="140" t="s">
        <v>6</v>
      </c>
      <c r="G162" s="140" t="s">
        <v>6</v>
      </c>
      <c r="H162" s="140" t="s">
        <v>6</v>
      </c>
      <c r="I162" s="140" t="s">
        <v>6</v>
      </c>
      <c r="J162" s="140" t="s">
        <v>6</v>
      </c>
      <c r="K162" s="135"/>
      <c r="L162" s="150"/>
      <c r="M162" s="135"/>
    </row>
    <row r="163" spans="1:13">
      <c r="A163" s="135"/>
      <c r="B163" s="148"/>
      <c r="C163" s="147"/>
      <c r="D163" s="140"/>
      <c r="E163" s="140"/>
      <c r="F163" s="140"/>
      <c r="G163" s="148"/>
      <c r="H163" s="148"/>
      <c r="I163" s="148"/>
      <c r="J163" s="148"/>
      <c r="K163" s="135"/>
      <c r="L163" s="150"/>
      <c r="M163" s="135"/>
    </row>
    <row r="164" spans="1:13">
      <c r="A164" s="135"/>
      <c r="B164" s="148"/>
      <c r="C164" s="147"/>
      <c r="D164" s="140">
        <v>61.6</v>
      </c>
      <c r="E164" s="140" t="s">
        <v>136</v>
      </c>
      <c r="F164" s="140" t="s">
        <v>6</v>
      </c>
      <c r="G164" s="140" t="s">
        <v>6</v>
      </c>
      <c r="H164" s="140" t="s">
        <v>6</v>
      </c>
      <c r="I164" s="140" t="s">
        <v>6</v>
      </c>
      <c r="J164" s="140" t="s">
        <v>6</v>
      </c>
      <c r="K164" s="135">
        <v>30</v>
      </c>
      <c r="L164" s="150">
        <f>K164*A144</f>
        <v>18</v>
      </c>
      <c r="M164" s="135">
        <f>K164-L164</f>
        <v>12</v>
      </c>
    </row>
    <row r="165" spans="1:13">
      <c r="A165" s="135"/>
      <c r="B165" s="148"/>
      <c r="C165" s="147"/>
      <c r="D165" s="140">
        <v>62.6</v>
      </c>
      <c r="E165" s="140" t="s">
        <v>137</v>
      </c>
      <c r="F165" s="140" t="s">
        <v>7</v>
      </c>
      <c r="G165" s="140" t="s">
        <v>7</v>
      </c>
      <c r="H165" s="140" t="s">
        <v>7</v>
      </c>
      <c r="I165" s="140" t="s">
        <v>7</v>
      </c>
      <c r="J165" s="140" t="s">
        <v>7</v>
      </c>
      <c r="K165" s="135"/>
      <c r="L165" s="150">
        <f>COUNTIF(F164:J169,"Father")</f>
        <v>18</v>
      </c>
      <c r="M165" s="135">
        <f>COUNTIF(F164:J169,"Mother")</f>
        <v>12</v>
      </c>
    </row>
    <row r="166" spans="1:13">
      <c r="A166" s="135"/>
      <c r="B166" s="148"/>
      <c r="C166" s="147"/>
      <c r="D166" s="140">
        <v>63.6</v>
      </c>
      <c r="E166" s="140" t="s">
        <v>138</v>
      </c>
      <c r="F166" s="140" t="s">
        <v>6</v>
      </c>
      <c r="G166" s="140" t="s">
        <v>6</v>
      </c>
      <c r="H166" s="140" t="s">
        <v>6</v>
      </c>
      <c r="I166" s="140" t="s">
        <v>6</v>
      </c>
      <c r="J166" s="140" t="s">
        <v>6</v>
      </c>
      <c r="K166" s="135"/>
      <c r="L166" s="150"/>
      <c r="M166" s="135"/>
    </row>
    <row r="167" spans="1:13">
      <c r="A167" s="135"/>
      <c r="B167" s="148"/>
      <c r="C167" s="147"/>
      <c r="D167" s="140">
        <v>64.599999999999994</v>
      </c>
      <c r="E167" s="140" t="s">
        <v>139</v>
      </c>
      <c r="F167" s="140" t="s">
        <v>7</v>
      </c>
      <c r="G167" s="140" t="s">
        <v>7</v>
      </c>
      <c r="H167" s="140" t="s">
        <v>7</v>
      </c>
      <c r="I167" s="140" t="s">
        <v>7</v>
      </c>
      <c r="J167" s="140" t="s">
        <v>7</v>
      </c>
      <c r="K167" s="135"/>
      <c r="L167" s="150"/>
      <c r="M167" s="135"/>
    </row>
    <row r="168" spans="1:13">
      <c r="A168" s="135"/>
      <c r="B168" s="148"/>
      <c r="C168" s="147"/>
      <c r="D168" s="140">
        <v>65.599999999999994</v>
      </c>
      <c r="E168" s="140" t="s">
        <v>140</v>
      </c>
      <c r="F168" s="140" t="s">
        <v>6</v>
      </c>
      <c r="G168" s="140" t="s">
        <v>6</v>
      </c>
      <c r="H168" s="140" t="s">
        <v>6</v>
      </c>
      <c r="I168" s="140" t="s">
        <v>6</v>
      </c>
      <c r="J168" s="140" t="s">
        <v>6</v>
      </c>
      <c r="K168" s="135"/>
      <c r="L168" s="150"/>
      <c r="M168" s="135"/>
    </row>
    <row r="169" spans="1:13">
      <c r="A169" s="173"/>
      <c r="B169" s="152"/>
      <c r="C169" s="124"/>
      <c r="D169" s="153">
        <v>66.599999999999994</v>
      </c>
      <c r="E169" s="153" t="s">
        <v>141</v>
      </c>
      <c r="F169" s="153" t="s">
        <v>6</v>
      </c>
      <c r="G169" s="153" t="s">
        <v>7</v>
      </c>
      <c r="H169" s="140" t="s">
        <v>6</v>
      </c>
      <c r="I169" s="140" t="s">
        <v>7</v>
      </c>
      <c r="J169" s="140" t="s">
        <v>6</v>
      </c>
      <c r="K169" s="151"/>
      <c r="L169" s="154"/>
      <c r="M169" s="151"/>
    </row>
    <row r="170" spans="1:13">
      <c r="A170" s="135"/>
      <c r="B170" s="148"/>
      <c r="C170" s="147"/>
      <c r="D170" s="140"/>
      <c r="E170" s="140"/>
      <c r="F170" s="140"/>
      <c r="G170" s="148"/>
      <c r="H170" s="159"/>
      <c r="I170" s="159"/>
      <c r="J170" s="159"/>
      <c r="K170" s="135"/>
      <c r="L170" s="150"/>
      <c r="M170" s="135"/>
    </row>
    <row r="171" spans="1:13">
      <c r="A171" s="157">
        <v>0.5</v>
      </c>
      <c r="B171" s="148">
        <v>0.5</v>
      </c>
      <c r="C171" s="158" t="s">
        <v>146</v>
      </c>
      <c r="D171" s="140">
        <v>11.5</v>
      </c>
      <c r="E171" s="140" t="s">
        <v>136</v>
      </c>
      <c r="F171" s="140" t="s">
        <v>7</v>
      </c>
      <c r="G171" s="148" t="s">
        <v>6</v>
      </c>
      <c r="H171" s="141"/>
      <c r="I171" s="136"/>
      <c r="J171" s="141"/>
      <c r="K171" s="135">
        <v>2</v>
      </c>
      <c r="L171" s="150">
        <f>K171*A171</f>
        <v>1</v>
      </c>
      <c r="M171" s="135">
        <f>K171-L171</f>
        <v>1</v>
      </c>
    </row>
    <row r="172" spans="1:13">
      <c r="A172" s="135"/>
      <c r="B172" s="148"/>
      <c r="C172" s="147"/>
      <c r="D172" s="140"/>
      <c r="E172" s="140"/>
      <c r="F172" s="140"/>
      <c r="G172" s="148"/>
      <c r="H172" s="141"/>
      <c r="I172" s="136"/>
      <c r="J172" s="141"/>
      <c r="K172" s="135"/>
      <c r="L172" s="150"/>
      <c r="M172" s="135"/>
    </row>
    <row r="173" spans="1:13">
      <c r="A173" s="135"/>
      <c r="B173" s="148"/>
      <c r="C173" s="147"/>
      <c r="D173" s="140">
        <v>21.5</v>
      </c>
      <c r="E173" s="140" t="s">
        <v>136</v>
      </c>
      <c r="F173" s="140" t="s">
        <v>7</v>
      </c>
      <c r="G173" s="148" t="s">
        <v>7</v>
      </c>
      <c r="H173" s="141"/>
      <c r="I173" s="136"/>
      <c r="J173" s="141"/>
      <c r="K173" s="135">
        <v>4</v>
      </c>
      <c r="L173" s="150">
        <f>K173*A171</f>
        <v>2</v>
      </c>
      <c r="M173" s="135">
        <f>K173-L173</f>
        <v>2</v>
      </c>
    </row>
    <row r="174" spans="1:13">
      <c r="A174" s="135"/>
      <c r="B174" s="148"/>
      <c r="C174" s="147"/>
      <c r="D174" s="140">
        <v>22.5</v>
      </c>
      <c r="E174" s="140" t="s">
        <v>137</v>
      </c>
      <c r="F174" s="140" t="s">
        <v>6</v>
      </c>
      <c r="G174" s="148" t="s">
        <v>6</v>
      </c>
      <c r="H174" s="141"/>
      <c r="I174" s="136"/>
      <c r="J174" s="141"/>
      <c r="K174" s="135"/>
      <c r="L174" s="150">
        <f>COUNTIF(F173:G174,"Father")</f>
        <v>2</v>
      </c>
      <c r="M174" s="135">
        <f>COUNTIF(F173:G174,"Mother")</f>
        <v>2</v>
      </c>
    </row>
    <row r="175" spans="1:13">
      <c r="A175" s="135"/>
      <c r="B175" s="148"/>
      <c r="C175" s="147"/>
      <c r="D175" s="140"/>
      <c r="E175" s="140"/>
      <c r="F175" s="140"/>
      <c r="G175" s="148"/>
      <c r="H175" s="141"/>
      <c r="I175" s="136"/>
      <c r="J175" s="141"/>
      <c r="K175" s="135"/>
      <c r="L175" s="150"/>
      <c r="M175" s="135"/>
    </row>
    <row r="176" spans="1:13">
      <c r="A176" s="135"/>
      <c r="B176" s="148"/>
      <c r="C176" s="147"/>
      <c r="D176" s="140">
        <v>31.5</v>
      </c>
      <c r="E176" s="140" t="s">
        <v>136</v>
      </c>
      <c r="F176" s="140" t="s">
        <v>6</v>
      </c>
      <c r="G176" s="148" t="s">
        <v>6</v>
      </c>
      <c r="H176" s="141"/>
      <c r="I176" s="136"/>
      <c r="J176" s="141"/>
      <c r="K176" s="135">
        <v>6</v>
      </c>
      <c r="L176" s="150">
        <f>K176*A171</f>
        <v>3</v>
      </c>
      <c r="M176" s="135">
        <f>K176-L176</f>
        <v>3</v>
      </c>
    </row>
    <row r="177" spans="1:13">
      <c r="A177" s="135"/>
      <c r="B177" s="148"/>
      <c r="C177" s="147"/>
      <c r="D177" s="140">
        <v>32.5</v>
      </c>
      <c r="E177" s="140" t="s">
        <v>137</v>
      </c>
      <c r="F177" s="148" t="s">
        <v>7</v>
      </c>
      <c r="G177" s="148" t="s">
        <v>7</v>
      </c>
      <c r="H177" s="136"/>
      <c r="I177" s="136"/>
      <c r="J177" s="136"/>
      <c r="K177" s="135"/>
      <c r="L177" s="150">
        <f>COUNTIF(F176:G178,"Father")</f>
        <v>3</v>
      </c>
      <c r="M177" s="135">
        <f>COUNTIF(F176:G178,"Mother")</f>
        <v>3</v>
      </c>
    </row>
    <row r="178" spans="1:13">
      <c r="A178" s="135"/>
      <c r="B178" s="148"/>
      <c r="C178" s="147"/>
      <c r="D178" s="140">
        <v>33.5</v>
      </c>
      <c r="E178" s="140" t="s">
        <v>138</v>
      </c>
      <c r="F178" s="775" t="s">
        <v>6</v>
      </c>
      <c r="G178" s="773" t="s">
        <v>7</v>
      </c>
      <c r="H178" s="141"/>
      <c r="I178" s="136"/>
      <c r="J178" s="141"/>
      <c r="K178" s="135"/>
      <c r="L178" s="150"/>
      <c r="M178" s="135"/>
    </row>
    <row r="179" spans="1:13">
      <c r="A179" s="135"/>
      <c r="B179" s="148"/>
      <c r="C179" s="147"/>
      <c r="D179" s="140"/>
      <c r="E179" s="140"/>
      <c r="F179" s="140"/>
      <c r="G179" s="148"/>
      <c r="H179" s="141"/>
      <c r="I179" s="136"/>
      <c r="J179" s="141"/>
      <c r="K179" s="135"/>
      <c r="L179" s="150"/>
      <c r="M179" s="135"/>
    </row>
    <row r="180" spans="1:13">
      <c r="A180" s="135"/>
      <c r="B180" s="148"/>
      <c r="C180" s="147"/>
      <c r="D180" s="140">
        <v>41.5</v>
      </c>
      <c r="E180" s="140" t="s">
        <v>136</v>
      </c>
      <c r="F180" s="140" t="s">
        <v>7</v>
      </c>
      <c r="G180" s="140" t="s">
        <v>7</v>
      </c>
      <c r="H180" s="141"/>
      <c r="I180" s="141"/>
      <c r="J180" s="141"/>
      <c r="K180" s="135">
        <v>8</v>
      </c>
      <c r="L180" s="150">
        <f>K180*A171</f>
        <v>4</v>
      </c>
      <c r="M180" s="135">
        <f>K180-L180</f>
        <v>4</v>
      </c>
    </row>
    <row r="181" spans="1:13">
      <c r="A181" s="135"/>
      <c r="B181" s="148"/>
      <c r="C181" s="147"/>
      <c r="D181" s="140">
        <v>42.5</v>
      </c>
      <c r="E181" s="140" t="s">
        <v>137</v>
      </c>
      <c r="F181" s="140" t="s">
        <v>6</v>
      </c>
      <c r="G181" s="140" t="s">
        <v>6</v>
      </c>
      <c r="H181" s="141"/>
      <c r="I181" s="141"/>
      <c r="J181" s="141"/>
      <c r="K181" s="135"/>
      <c r="L181" s="150">
        <f>COUNTIF(F180:G183,"Father")</f>
        <v>4</v>
      </c>
      <c r="M181" s="135">
        <f>COUNTIF(F180:G183,"Mother")</f>
        <v>4</v>
      </c>
    </row>
    <row r="182" spans="1:13">
      <c r="A182" s="135"/>
      <c r="B182" s="148"/>
      <c r="C182" s="147"/>
      <c r="D182" s="140">
        <v>43.5</v>
      </c>
      <c r="E182" s="140" t="s">
        <v>138</v>
      </c>
      <c r="F182" s="140" t="s">
        <v>7</v>
      </c>
      <c r="G182" s="140" t="s">
        <v>7</v>
      </c>
      <c r="H182" s="141"/>
      <c r="I182" s="141"/>
      <c r="J182" s="141"/>
      <c r="K182" s="135"/>
      <c r="L182" s="150"/>
      <c r="M182" s="135"/>
    </row>
    <row r="183" spans="1:13">
      <c r="A183" s="135"/>
      <c r="B183" s="148"/>
      <c r="C183" s="147"/>
      <c r="D183" s="140">
        <v>44.5</v>
      </c>
      <c r="E183" s="140" t="s">
        <v>139</v>
      </c>
      <c r="F183" s="775" t="s">
        <v>6</v>
      </c>
      <c r="G183" s="775" t="s">
        <v>6</v>
      </c>
      <c r="H183" s="141"/>
      <c r="I183" s="141"/>
      <c r="J183" s="141"/>
      <c r="K183" s="135"/>
      <c r="L183" s="150"/>
      <c r="M183" s="135"/>
    </row>
    <row r="184" spans="1:13">
      <c r="A184" s="135"/>
      <c r="B184" s="148"/>
      <c r="C184" s="147"/>
      <c r="D184" s="140"/>
      <c r="E184" s="140"/>
      <c r="F184" s="140"/>
      <c r="G184" s="148"/>
      <c r="H184" s="141"/>
      <c r="I184" s="136"/>
      <c r="J184" s="141"/>
      <c r="K184" s="135"/>
      <c r="L184" s="150"/>
      <c r="M184" s="135"/>
    </row>
    <row r="185" spans="1:13">
      <c r="A185" s="135"/>
      <c r="B185" s="148"/>
      <c r="C185" s="147"/>
      <c r="D185" s="140">
        <v>51.5</v>
      </c>
      <c r="E185" s="140" t="s">
        <v>136</v>
      </c>
      <c r="F185" s="140" t="s">
        <v>6</v>
      </c>
      <c r="G185" s="140" t="s">
        <v>6</v>
      </c>
      <c r="H185" s="141"/>
      <c r="I185" s="141"/>
      <c r="J185" s="141"/>
      <c r="K185" s="135">
        <v>10</v>
      </c>
      <c r="L185" s="150">
        <f>K185*A171</f>
        <v>5</v>
      </c>
      <c r="M185" s="135">
        <f>K185-L185</f>
        <v>5</v>
      </c>
    </row>
    <row r="186" spans="1:13">
      <c r="A186" s="135"/>
      <c r="B186" s="148"/>
      <c r="C186" s="147"/>
      <c r="D186" s="140">
        <v>52.5</v>
      </c>
      <c r="E186" s="140" t="s">
        <v>137</v>
      </c>
      <c r="F186" s="140" t="s">
        <v>7</v>
      </c>
      <c r="G186" s="140" t="s">
        <v>7</v>
      </c>
      <c r="H186" s="141"/>
      <c r="I186" s="141"/>
      <c r="J186" s="141"/>
      <c r="K186" s="135"/>
      <c r="L186" s="150">
        <f>COUNTIF(F185:G189,"Father")</f>
        <v>5</v>
      </c>
      <c r="M186" s="135">
        <f>COUNTIF(F185:G189,"Mother")</f>
        <v>5</v>
      </c>
    </row>
    <row r="187" spans="1:13">
      <c r="A187" s="135"/>
      <c r="B187" s="148"/>
      <c r="C187" s="147"/>
      <c r="D187" s="140">
        <v>53.5</v>
      </c>
      <c r="E187" s="140" t="s">
        <v>138</v>
      </c>
      <c r="F187" s="140" t="s">
        <v>6</v>
      </c>
      <c r="G187" s="140" t="s">
        <v>6</v>
      </c>
      <c r="H187" s="141"/>
      <c r="I187" s="141"/>
      <c r="J187" s="141"/>
      <c r="K187" s="135"/>
      <c r="L187" s="150"/>
      <c r="M187" s="135"/>
    </row>
    <row r="188" spans="1:13">
      <c r="A188" s="135"/>
      <c r="B188" s="148"/>
      <c r="C188" s="147"/>
      <c r="D188" s="140">
        <v>54.5</v>
      </c>
      <c r="E188" s="140" t="s">
        <v>139</v>
      </c>
      <c r="F188" s="140" t="s">
        <v>7</v>
      </c>
      <c r="G188" s="140" t="s">
        <v>7</v>
      </c>
      <c r="H188" s="141"/>
      <c r="I188" s="141"/>
      <c r="J188" s="141"/>
      <c r="K188" s="135"/>
      <c r="L188" s="150"/>
      <c r="M188" s="135"/>
    </row>
    <row r="189" spans="1:13">
      <c r="A189" s="135"/>
      <c r="B189" s="148"/>
      <c r="C189" s="147"/>
      <c r="D189" s="140">
        <v>55.5</v>
      </c>
      <c r="E189" s="140" t="s">
        <v>140</v>
      </c>
      <c r="F189" s="140" t="s">
        <v>6</v>
      </c>
      <c r="G189" s="140" t="s">
        <v>7</v>
      </c>
      <c r="H189" s="141"/>
      <c r="I189" s="141"/>
      <c r="J189" s="141"/>
      <c r="K189" s="135"/>
      <c r="L189" s="150"/>
      <c r="M189" s="135"/>
    </row>
    <row r="190" spans="1:13">
      <c r="A190" s="135"/>
      <c r="B190" s="148"/>
      <c r="C190" s="147"/>
      <c r="D190" s="140"/>
      <c r="E190" s="140"/>
      <c r="F190" s="140"/>
      <c r="G190" s="148"/>
      <c r="H190" s="141"/>
      <c r="I190" s="136"/>
      <c r="J190" s="141"/>
      <c r="K190" s="135"/>
      <c r="L190" s="150"/>
      <c r="M190" s="135"/>
    </row>
    <row r="191" spans="1:13">
      <c r="A191" s="135"/>
      <c r="B191" s="148"/>
      <c r="C191" s="147"/>
      <c r="D191" s="140">
        <v>61.5</v>
      </c>
      <c r="E191" s="140" t="s">
        <v>136</v>
      </c>
      <c r="F191" s="140" t="s">
        <v>7</v>
      </c>
      <c r="G191" s="140" t="s">
        <v>7</v>
      </c>
      <c r="H191" s="141"/>
      <c r="I191" s="141"/>
      <c r="J191" s="141"/>
      <c r="K191" s="135">
        <v>12</v>
      </c>
      <c r="L191" s="150">
        <f>K191*A171</f>
        <v>6</v>
      </c>
      <c r="M191" s="135">
        <f>K191-L191</f>
        <v>6</v>
      </c>
    </row>
    <row r="192" spans="1:13">
      <c r="A192" s="135"/>
      <c r="B192" s="148"/>
      <c r="C192" s="147"/>
      <c r="D192" s="140">
        <v>62.5</v>
      </c>
      <c r="E192" s="140" t="s">
        <v>137</v>
      </c>
      <c r="F192" s="140" t="s">
        <v>6</v>
      </c>
      <c r="G192" s="140" t="s">
        <v>6</v>
      </c>
      <c r="H192" s="141"/>
      <c r="I192" s="141"/>
      <c r="J192" s="141"/>
      <c r="K192" s="135"/>
      <c r="L192" s="150">
        <f>COUNTIF(F191:G196,"Father")</f>
        <v>6</v>
      </c>
      <c r="M192" s="135">
        <f>COUNTIF(F191:G196,"Mother")</f>
        <v>6</v>
      </c>
    </row>
    <row r="193" spans="1:13">
      <c r="A193" s="135"/>
      <c r="B193" s="148"/>
      <c r="C193" s="147"/>
      <c r="D193" s="140">
        <v>63.5</v>
      </c>
      <c r="E193" s="140" t="s">
        <v>138</v>
      </c>
      <c r="F193" s="140" t="s">
        <v>7</v>
      </c>
      <c r="G193" s="140" t="s">
        <v>7</v>
      </c>
      <c r="H193" s="141"/>
      <c r="I193" s="141"/>
      <c r="J193" s="141"/>
      <c r="K193" s="135"/>
      <c r="L193" s="150"/>
      <c r="M193" s="135"/>
    </row>
    <row r="194" spans="1:13">
      <c r="A194" s="135"/>
      <c r="B194" s="148"/>
      <c r="C194" s="147"/>
      <c r="D194" s="140">
        <v>64.5</v>
      </c>
      <c r="E194" s="140" t="s">
        <v>139</v>
      </c>
      <c r="F194" s="140" t="s">
        <v>6</v>
      </c>
      <c r="G194" s="140" t="s">
        <v>6</v>
      </c>
      <c r="H194" s="141"/>
      <c r="I194" s="141"/>
      <c r="J194" s="141"/>
      <c r="K194" s="135"/>
      <c r="L194" s="150"/>
      <c r="M194" s="135"/>
    </row>
    <row r="195" spans="1:13">
      <c r="A195" s="135"/>
      <c r="B195" s="148"/>
      <c r="C195" s="147"/>
      <c r="D195" s="140">
        <v>65.5</v>
      </c>
      <c r="E195" s="140" t="s">
        <v>140</v>
      </c>
      <c r="F195" s="778" t="s">
        <v>7</v>
      </c>
      <c r="G195" s="779" t="s">
        <v>7</v>
      </c>
      <c r="H195" s="141"/>
      <c r="I195" s="141"/>
      <c r="J195" s="141"/>
      <c r="K195" s="135"/>
      <c r="L195" s="150"/>
      <c r="M195" s="135"/>
    </row>
    <row r="196" spans="1:13">
      <c r="A196" s="173"/>
      <c r="B196" s="152"/>
      <c r="C196" s="124"/>
      <c r="D196" s="153">
        <v>66.5</v>
      </c>
      <c r="E196" s="153" t="s">
        <v>141</v>
      </c>
      <c r="F196" s="777" t="s">
        <v>6</v>
      </c>
      <c r="G196" s="777" t="s">
        <v>6</v>
      </c>
      <c r="H196" s="153"/>
      <c r="I196" s="153"/>
      <c r="J196" s="153"/>
      <c r="K196" s="151"/>
      <c r="L196" s="154"/>
      <c r="M196" s="151"/>
    </row>
    <row r="197" spans="1:13">
      <c r="A197" s="135"/>
      <c r="B197" s="148"/>
      <c r="C197" s="147"/>
      <c r="D197" s="140"/>
      <c r="E197" s="140"/>
      <c r="F197" s="140"/>
      <c r="G197" s="148"/>
      <c r="H197" s="148"/>
      <c r="I197" s="148"/>
      <c r="J197" s="148"/>
      <c r="K197" s="135"/>
      <c r="L197" s="150"/>
      <c r="M197" s="135"/>
    </row>
    <row r="198" spans="1:13">
      <c r="A198" s="157">
        <v>0.4</v>
      </c>
      <c r="B198" s="148">
        <v>0.4</v>
      </c>
      <c r="C198" s="158" t="s">
        <v>147</v>
      </c>
      <c r="D198" s="140">
        <v>11.4</v>
      </c>
      <c r="E198" s="140" t="s">
        <v>136</v>
      </c>
      <c r="F198" s="140" t="s">
        <v>7</v>
      </c>
      <c r="G198" s="148" t="s">
        <v>6</v>
      </c>
      <c r="H198" s="148" t="s">
        <v>7</v>
      </c>
      <c r="I198" s="148" t="s">
        <v>6</v>
      </c>
      <c r="J198" s="148" t="s">
        <v>7</v>
      </c>
      <c r="K198" s="135">
        <v>5</v>
      </c>
      <c r="L198" s="150">
        <f>K198*A198</f>
        <v>2</v>
      </c>
      <c r="M198" s="135">
        <f>K198-L198</f>
        <v>3</v>
      </c>
    </row>
    <row r="199" spans="1:13">
      <c r="A199" s="135"/>
      <c r="B199" s="148"/>
      <c r="C199" s="147"/>
      <c r="D199" s="140"/>
      <c r="E199" s="140"/>
      <c r="F199" s="140"/>
      <c r="G199" s="148"/>
      <c r="H199" s="148"/>
      <c r="I199" s="148"/>
      <c r="J199" s="148"/>
      <c r="K199" s="135"/>
      <c r="L199" s="150"/>
      <c r="M199" s="135"/>
    </row>
    <row r="200" spans="1:13">
      <c r="A200" s="135"/>
      <c r="B200" s="148"/>
      <c r="C200" s="147"/>
      <c r="D200" s="140">
        <v>21.4</v>
      </c>
      <c r="E200" s="140" t="s">
        <v>136</v>
      </c>
      <c r="F200" s="140" t="s">
        <v>7</v>
      </c>
      <c r="G200" s="148" t="s">
        <v>7</v>
      </c>
      <c r="H200" s="148" t="s">
        <v>7</v>
      </c>
      <c r="I200" s="148" t="s">
        <v>7</v>
      </c>
      <c r="J200" s="148" t="s">
        <v>7</v>
      </c>
      <c r="K200" s="135">
        <v>10</v>
      </c>
      <c r="L200" s="150">
        <f>K200*A198</f>
        <v>4</v>
      </c>
      <c r="M200" s="135">
        <f>K200-L200</f>
        <v>6</v>
      </c>
    </row>
    <row r="201" spans="1:13">
      <c r="A201" s="135"/>
      <c r="B201" s="148"/>
      <c r="C201" s="147"/>
      <c r="D201" s="140">
        <v>22.4</v>
      </c>
      <c r="E201" s="140" t="s">
        <v>137</v>
      </c>
      <c r="F201" s="140" t="s">
        <v>6</v>
      </c>
      <c r="G201" s="148" t="s">
        <v>6</v>
      </c>
      <c r="H201" s="773" t="s">
        <v>7</v>
      </c>
      <c r="I201" s="148" t="s">
        <v>6</v>
      </c>
      <c r="J201" s="773" t="s">
        <v>6</v>
      </c>
      <c r="K201" s="135"/>
      <c r="L201" s="150">
        <f>COUNTIF(F200:J201,"Father")</f>
        <v>4</v>
      </c>
      <c r="M201" s="135">
        <f>COUNTIF(F200:J201,"Mother")</f>
        <v>6</v>
      </c>
    </row>
    <row r="202" spans="1:13">
      <c r="A202" s="135"/>
      <c r="B202" s="148"/>
      <c r="C202" s="147"/>
      <c r="D202" s="140"/>
      <c r="E202" s="140"/>
      <c r="F202" s="140"/>
      <c r="G202" s="148"/>
      <c r="H202" s="148"/>
      <c r="I202" s="148"/>
      <c r="J202" s="148"/>
      <c r="K202" s="135"/>
      <c r="L202" s="150"/>
      <c r="M202" s="135"/>
    </row>
    <row r="203" spans="1:13">
      <c r="A203" s="135"/>
      <c r="B203" s="148"/>
      <c r="C203" s="147"/>
      <c r="D203" s="140">
        <v>31.4</v>
      </c>
      <c r="E203" s="140" t="s">
        <v>136</v>
      </c>
      <c r="F203" s="140" t="s">
        <v>7</v>
      </c>
      <c r="G203" s="140" t="s">
        <v>7</v>
      </c>
      <c r="H203" s="775" t="s">
        <v>7</v>
      </c>
      <c r="I203" s="140" t="s">
        <v>7</v>
      </c>
      <c r="J203" s="140" t="s">
        <v>7</v>
      </c>
      <c r="K203" s="135">
        <v>15</v>
      </c>
      <c r="L203" s="150">
        <f>K203*A198</f>
        <v>6</v>
      </c>
      <c r="M203" s="135">
        <f>K203-L203</f>
        <v>9</v>
      </c>
    </row>
    <row r="204" spans="1:13">
      <c r="A204" s="135"/>
      <c r="B204" s="148"/>
      <c r="C204" s="147"/>
      <c r="D204" s="140">
        <v>32.4</v>
      </c>
      <c r="E204" s="140" t="s">
        <v>137</v>
      </c>
      <c r="F204" s="140" t="s">
        <v>6</v>
      </c>
      <c r="G204" s="140" t="s">
        <v>6</v>
      </c>
      <c r="H204" s="140" t="s">
        <v>6</v>
      </c>
      <c r="I204" s="140" t="s">
        <v>6</v>
      </c>
      <c r="J204" s="775" t="s">
        <v>6</v>
      </c>
      <c r="K204" s="135"/>
      <c r="L204" s="150">
        <f>COUNTIF(F203:J205,"Father")</f>
        <v>6</v>
      </c>
      <c r="M204" s="135">
        <f>COUNTIF(F203:J205,"Mother")</f>
        <v>9</v>
      </c>
    </row>
    <row r="205" spans="1:13">
      <c r="A205" s="135"/>
      <c r="B205" s="148"/>
      <c r="C205" s="147"/>
      <c r="D205" s="140">
        <v>33.4</v>
      </c>
      <c r="E205" s="140" t="s">
        <v>138</v>
      </c>
      <c r="F205" s="140" t="s">
        <v>7</v>
      </c>
      <c r="G205" s="140" t="s">
        <v>7</v>
      </c>
      <c r="H205" s="775" t="s">
        <v>6</v>
      </c>
      <c r="I205" s="140" t="s">
        <v>7</v>
      </c>
      <c r="J205" s="775" t="s">
        <v>7</v>
      </c>
      <c r="K205" s="135"/>
      <c r="L205" s="150"/>
      <c r="M205" s="135"/>
    </row>
    <row r="206" spans="1:13">
      <c r="A206" s="135"/>
      <c r="B206" s="148"/>
      <c r="C206" s="147"/>
      <c r="D206" s="140"/>
      <c r="E206" s="140"/>
      <c r="F206" s="140"/>
      <c r="G206" s="148"/>
      <c r="H206" s="148"/>
      <c r="I206" s="148"/>
      <c r="J206" s="148"/>
      <c r="K206" s="135"/>
      <c r="L206" s="150"/>
      <c r="M206" s="135"/>
    </row>
    <row r="207" spans="1:13">
      <c r="A207" s="135"/>
      <c r="B207" s="148"/>
      <c r="C207" s="147"/>
      <c r="D207" s="140">
        <v>41.4</v>
      </c>
      <c r="E207" s="140" t="s">
        <v>136</v>
      </c>
      <c r="F207" s="140" t="s">
        <v>7</v>
      </c>
      <c r="G207" s="140" t="s">
        <v>7</v>
      </c>
      <c r="H207" s="140" t="s">
        <v>7</v>
      </c>
      <c r="I207" s="140" t="s">
        <v>7</v>
      </c>
      <c r="J207" s="140" t="s">
        <v>7</v>
      </c>
      <c r="K207" s="135">
        <v>20</v>
      </c>
      <c r="L207" s="150">
        <f>K207*A198</f>
        <v>8</v>
      </c>
      <c r="M207" s="135">
        <f>K207-L207</f>
        <v>12</v>
      </c>
    </row>
    <row r="208" spans="1:13">
      <c r="A208" s="135"/>
      <c r="B208" s="148"/>
      <c r="C208" s="147"/>
      <c r="D208" s="140">
        <v>42.4</v>
      </c>
      <c r="E208" s="140" t="s">
        <v>137</v>
      </c>
      <c r="F208" s="140" t="s">
        <v>6</v>
      </c>
      <c r="G208" s="140" t="s">
        <v>6</v>
      </c>
      <c r="H208" s="140" t="s">
        <v>6</v>
      </c>
      <c r="I208" s="140" t="s">
        <v>6</v>
      </c>
      <c r="J208" s="140" t="s">
        <v>6</v>
      </c>
      <c r="K208" s="135"/>
      <c r="L208" s="150">
        <f>COUNTIF(F207:J210,"Father")</f>
        <v>8</v>
      </c>
      <c r="M208" s="135">
        <f>COUNTIF(F207:J210,"Mother")</f>
        <v>12</v>
      </c>
    </row>
    <row r="209" spans="1:13">
      <c r="A209" s="135"/>
      <c r="B209" s="148"/>
      <c r="C209" s="147"/>
      <c r="D209" s="140">
        <v>43.4</v>
      </c>
      <c r="E209" s="140" t="s">
        <v>138</v>
      </c>
      <c r="F209" s="775" t="s">
        <v>7</v>
      </c>
      <c r="G209" s="140" t="s">
        <v>7</v>
      </c>
      <c r="H209" s="775" t="s">
        <v>7</v>
      </c>
      <c r="I209" s="140" t="s">
        <v>7</v>
      </c>
      <c r="J209" s="775" t="s">
        <v>7</v>
      </c>
      <c r="K209" s="135"/>
      <c r="L209" s="150"/>
      <c r="M209" s="135"/>
    </row>
    <row r="210" spans="1:13">
      <c r="A210" s="135"/>
      <c r="B210" s="148"/>
      <c r="C210" s="147"/>
      <c r="D210" s="140">
        <v>44.4</v>
      </c>
      <c r="E210" s="140" t="s">
        <v>139</v>
      </c>
      <c r="F210" s="775" t="s">
        <v>6</v>
      </c>
      <c r="G210" s="140" t="s">
        <v>7</v>
      </c>
      <c r="H210" s="775" t="s">
        <v>6</v>
      </c>
      <c r="I210" s="140" t="s">
        <v>7</v>
      </c>
      <c r="J210" s="775" t="s">
        <v>6</v>
      </c>
      <c r="K210" s="135"/>
      <c r="L210" s="150"/>
      <c r="M210" s="135"/>
    </row>
    <row r="211" spans="1:13">
      <c r="A211" s="135"/>
      <c r="B211" s="148"/>
      <c r="C211" s="147"/>
      <c r="D211" s="140"/>
      <c r="E211" s="140"/>
      <c r="F211" s="140"/>
      <c r="G211" s="148"/>
      <c r="H211" s="148"/>
      <c r="I211" s="148"/>
      <c r="J211" s="148"/>
      <c r="K211" s="135"/>
      <c r="L211" s="150"/>
      <c r="M211" s="135"/>
    </row>
    <row r="212" spans="1:13">
      <c r="A212" s="135"/>
      <c r="B212" s="148"/>
      <c r="C212" s="147"/>
      <c r="D212" s="140">
        <v>51.4</v>
      </c>
      <c r="E212" s="140" t="s">
        <v>136</v>
      </c>
      <c r="F212" s="140" t="s">
        <v>7</v>
      </c>
      <c r="G212" s="140" t="s">
        <v>7</v>
      </c>
      <c r="H212" s="140" t="s">
        <v>7</v>
      </c>
      <c r="I212" s="140" t="s">
        <v>7</v>
      </c>
      <c r="J212" s="140" t="s">
        <v>7</v>
      </c>
      <c r="K212" s="135">
        <v>25</v>
      </c>
      <c r="L212" s="150">
        <f>K212*A198</f>
        <v>10</v>
      </c>
      <c r="M212" s="135">
        <f>K212-L212</f>
        <v>15</v>
      </c>
    </row>
    <row r="213" spans="1:13">
      <c r="A213" s="135"/>
      <c r="B213" s="148"/>
      <c r="C213" s="147"/>
      <c r="D213" s="140">
        <v>52.4</v>
      </c>
      <c r="E213" s="140" t="s">
        <v>137</v>
      </c>
      <c r="F213" s="140" t="s">
        <v>6</v>
      </c>
      <c r="G213" s="140" t="s">
        <v>6</v>
      </c>
      <c r="H213" s="140" t="s">
        <v>6</v>
      </c>
      <c r="I213" s="140" t="s">
        <v>6</v>
      </c>
      <c r="J213" s="140" t="s">
        <v>6</v>
      </c>
      <c r="K213" s="135"/>
      <c r="L213" s="150">
        <f>COUNTIF(F212:J216,"Father")</f>
        <v>10</v>
      </c>
      <c r="M213" s="135">
        <f>COUNTIF(F212:J216,"Mother")</f>
        <v>15</v>
      </c>
    </row>
    <row r="214" spans="1:13">
      <c r="A214" s="135"/>
      <c r="B214" s="148"/>
      <c r="C214" s="147"/>
      <c r="D214" s="140">
        <v>53.4</v>
      </c>
      <c r="E214" s="140" t="s">
        <v>138</v>
      </c>
      <c r="F214" s="140" t="s">
        <v>7</v>
      </c>
      <c r="G214" s="140" t="s">
        <v>7</v>
      </c>
      <c r="H214" s="140" t="s">
        <v>7</v>
      </c>
      <c r="I214" s="140" t="s">
        <v>7</v>
      </c>
      <c r="J214" s="140" t="s">
        <v>7</v>
      </c>
      <c r="K214" s="135"/>
      <c r="L214" s="150"/>
      <c r="M214" s="135"/>
    </row>
    <row r="215" spans="1:13">
      <c r="A215" s="135"/>
      <c r="B215" s="148"/>
      <c r="C215" s="147"/>
      <c r="D215" s="140">
        <v>54.4</v>
      </c>
      <c r="E215" s="140" t="s">
        <v>139</v>
      </c>
      <c r="F215" s="140" t="s">
        <v>6</v>
      </c>
      <c r="G215" s="140" t="s">
        <v>6</v>
      </c>
      <c r="H215" s="140" t="s">
        <v>6</v>
      </c>
      <c r="I215" s="140" t="s">
        <v>6</v>
      </c>
      <c r="J215" s="140" t="s">
        <v>6</v>
      </c>
      <c r="K215" s="135"/>
      <c r="L215" s="150"/>
      <c r="M215" s="135"/>
    </row>
    <row r="216" spans="1:13">
      <c r="A216" s="135"/>
      <c r="B216" s="148"/>
      <c r="C216" s="147"/>
      <c r="D216" s="140">
        <v>55.4</v>
      </c>
      <c r="E216" s="140" t="s">
        <v>140</v>
      </c>
      <c r="F216" s="140" t="s">
        <v>7</v>
      </c>
      <c r="G216" s="140" t="s">
        <v>7</v>
      </c>
      <c r="H216" s="140" t="s">
        <v>7</v>
      </c>
      <c r="I216" s="140" t="s">
        <v>7</v>
      </c>
      <c r="J216" s="140" t="s">
        <v>7</v>
      </c>
      <c r="K216" s="135"/>
      <c r="L216" s="150"/>
      <c r="M216" s="135"/>
    </row>
    <row r="217" spans="1:13">
      <c r="A217" s="135"/>
      <c r="B217" s="148"/>
      <c r="C217" s="147"/>
      <c r="D217" s="140"/>
      <c r="E217" s="140"/>
      <c r="F217" s="140"/>
      <c r="G217" s="148"/>
      <c r="H217" s="148"/>
      <c r="I217" s="148"/>
      <c r="J217" s="148"/>
      <c r="K217" s="135"/>
      <c r="L217" s="150"/>
      <c r="M217" s="135"/>
    </row>
    <row r="218" spans="1:13">
      <c r="A218" s="135"/>
      <c r="B218" s="148"/>
      <c r="C218" s="147"/>
      <c r="D218" s="140">
        <v>61.4</v>
      </c>
      <c r="E218" s="140" t="s">
        <v>136</v>
      </c>
      <c r="F218" s="140" t="s">
        <v>7</v>
      </c>
      <c r="G218" s="140" t="s">
        <v>7</v>
      </c>
      <c r="H218" s="140" t="s">
        <v>7</v>
      </c>
      <c r="I218" s="140" t="s">
        <v>7</v>
      </c>
      <c r="J218" s="140" t="s">
        <v>7</v>
      </c>
      <c r="K218" s="135">
        <v>30</v>
      </c>
      <c r="L218" s="150">
        <f>K218*A198</f>
        <v>12</v>
      </c>
      <c r="M218" s="135">
        <f>K218-L218</f>
        <v>18</v>
      </c>
    </row>
    <row r="219" spans="1:13">
      <c r="A219" s="135"/>
      <c r="B219" s="148"/>
      <c r="C219" s="147"/>
      <c r="D219" s="140">
        <v>62.4</v>
      </c>
      <c r="E219" s="140" t="s">
        <v>137</v>
      </c>
      <c r="F219" s="140" t="s">
        <v>6</v>
      </c>
      <c r="G219" s="140" t="s">
        <v>6</v>
      </c>
      <c r="H219" s="140" t="s">
        <v>6</v>
      </c>
      <c r="I219" s="140" t="s">
        <v>6</v>
      </c>
      <c r="J219" s="140" t="s">
        <v>6</v>
      </c>
      <c r="K219" s="135"/>
      <c r="L219" s="150">
        <f>COUNTIF(F218:J223,"Father")</f>
        <v>12</v>
      </c>
      <c r="M219" s="135">
        <f>COUNTIF(F218:J223,"Mother")</f>
        <v>18</v>
      </c>
    </row>
    <row r="220" spans="1:13">
      <c r="A220" s="135"/>
      <c r="B220" s="148"/>
      <c r="C220" s="147"/>
      <c r="D220" s="140">
        <v>63.4</v>
      </c>
      <c r="E220" s="140" t="s">
        <v>138</v>
      </c>
      <c r="F220" s="140" t="s">
        <v>7</v>
      </c>
      <c r="G220" s="140" t="s">
        <v>7</v>
      </c>
      <c r="H220" s="140" t="s">
        <v>7</v>
      </c>
      <c r="I220" s="140" t="s">
        <v>7</v>
      </c>
      <c r="J220" s="140" t="s">
        <v>7</v>
      </c>
      <c r="K220" s="135"/>
      <c r="L220" s="150"/>
      <c r="M220" s="135"/>
    </row>
    <row r="221" spans="1:13">
      <c r="A221" s="135"/>
      <c r="B221" s="148"/>
      <c r="C221" s="147"/>
      <c r="D221" s="140">
        <v>64.400000000000006</v>
      </c>
      <c r="E221" s="140" t="s">
        <v>139</v>
      </c>
      <c r="F221" s="140" t="s">
        <v>6</v>
      </c>
      <c r="G221" s="140" t="s">
        <v>6</v>
      </c>
      <c r="H221" s="140" t="s">
        <v>6</v>
      </c>
      <c r="I221" s="140" t="s">
        <v>6</v>
      </c>
      <c r="J221" s="140" t="s">
        <v>6</v>
      </c>
      <c r="K221" s="135"/>
      <c r="L221" s="150"/>
      <c r="M221" s="135"/>
    </row>
    <row r="222" spans="1:13">
      <c r="A222" s="135"/>
      <c r="B222" s="148"/>
      <c r="C222" s="147"/>
      <c r="D222" s="140">
        <v>65.400000000000006</v>
      </c>
      <c r="E222" s="140" t="s">
        <v>140</v>
      </c>
      <c r="F222" s="140" t="s">
        <v>7</v>
      </c>
      <c r="G222" s="140" t="s">
        <v>7</v>
      </c>
      <c r="H222" s="140" t="s">
        <v>7</v>
      </c>
      <c r="I222" s="140" t="s">
        <v>7</v>
      </c>
      <c r="J222" s="140" t="s">
        <v>7</v>
      </c>
      <c r="K222" s="135"/>
      <c r="L222" s="150"/>
      <c r="M222" s="135"/>
    </row>
    <row r="223" spans="1:13">
      <c r="A223" s="173"/>
      <c r="B223" s="152"/>
      <c r="C223" s="124"/>
      <c r="D223" s="153">
        <v>66.400000000000006</v>
      </c>
      <c r="E223" s="153" t="s">
        <v>141</v>
      </c>
      <c r="F223" s="153" t="s">
        <v>7</v>
      </c>
      <c r="G223" s="777" t="s">
        <v>6</v>
      </c>
      <c r="H223" s="153" t="s">
        <v>7</v>
      </c>
      <c r="I223" s="777" t="s">
        <v>6</v>
      </c>
      <c r="J223" s="153" t="s">
        <v>7</v>
      </c>
      <c r="K223" s="151"/>
      <c r="L223" s="154"/>
      <c r="M223" s="151"/>
    </row>
    <row r="224" spans="1:13">
      <c r="A224" s="135"/>
      <c r="B224" s="148"/>
      <c r="C224" s="147"/>
      <c r="D224" s="140"/>
      <c r="E224" s="140"/>
      <c r="F224" s="140"/>
      <c r="G224" s="148"/>
      <c r="H224" s="148"/>
      <c r="I224" s="159"/>
      <c r="J224" s="159"/>
      <c r="K224" s="135"/>
      <c r="L224" s="150"/>
      <c r="M224" s="135"/>
    </row>
    <row r="225" spans="1:13">
      <c r="A225" s="157">
        <v>0.33333333333333331</v>
      </c>
      <c r="B225" s="148">
        <v>0.33329999999999999</v>
      </c>
      <c r="C225" s="158" t="s">
        <v>148</v>
      </c>
      <c r="D225" s="140">
        <v>11.3</v>
      </c>
      <c r="E225" s="140" t="s">
        <v>136</v>
      </c>
      <c r="F225" s="140" t="s">
        <v>7</v>
      </c>
      <c r="G225" s="773" t="s">
        <v>6</v>
      </c>
      <c r="H225" s="773" t="s">
        <v>7</v>
      </c>
      <c r="I225" s="141"/>
      <c r="J225" s="136"/>
      <c r="K225" s="135">
        <v>3</v>
      </c>
      <c r="L225" s="150">
        <f>K225*A225</f>
        <v>1</v>
      </c>
      <c r="M225" s="135">
        <f>K225-L225</f>
        <v>2</v>
      </c>
    </row>
    <row r="226" spans="1:13">
      <c r="A226" s="135"/>
      <c r="B226" s="148"/>
      <c r="C226" s="147"/>
      <c r="D226" s="140"/>
      <c r="E226" s="140"/>
      <c r="F226" s="140"/>
      <c r="G226" s="148"/>
      <c r="H226" s="148"/>
      <c r="I226" s="141"/>
      <c r="J226" s="136"/>
      <c r="K226" s="135"/>
      <c r="L226" s="150"/>
      <c r="M226" s="135"/>
    </row>
    <row r="227" spans="1:13">
      <c r="A227" s="135"/>
      <c r="B227" s="148"/>
      <c r="C227" s="147"/>
      <c r="D227" s="140">
        <v>21.3</v>
      </c>
      <c r="E227" s="140" t="s">
        <v>136</v>
      </c>
      <c r="F227" s="775" t="s">
        <v>7</v>
      </c>
      <c r="G227" s="773" t="s">
        <v>7</v>
      </c>
      <c r="H227" s="148" t="s">
        <v>7</v>
      </c>
      <c r="I227" s="141"/>
      <c r="J227" s="136"/>
      <c r="K227" s="135">
        <v>6</v>
      </c>
      <c r="L227" s="150">
        <f>K227*A225</f>
        <v>2</v>
      </c>
      <c r="M227" s="135">
        <f>K227-L227</f>
        <v>4</v>
      </c>
    </row>
    <row r="228" spans="1:13">
      <c r="A228" s="135"/>
      <c r="B228" s="148"/>
      <c r="C228" s="147"/>
      <c r="D228" s="140">
        <v>22.3</v>
      </c>
      <c r="E228" s="140" t="s">
        <v>137</v>
      </c>
      <c r="F228" s="775" t="s">
        <v>6</v>
      </c>
      <c r="G228" s="773" t="s">
        <v>7</v>
      </c>
      <c r="H228" s="773" t="s">
        <v>6</v>
      </c>
      <c r="I228" s="141"/>
      <c r="J228" s="136"/>
      <c r="K228" s="135"/>
      <c r="L228" s="776">
        <f>COUNTIF(F227:H228,"Father")</f>
        <v>2</v>
      </c>
      <c r="M228" s="135">
        <f>COUNTIF(F227:H228,"Mother")</f>
        <v>4</v>
      </c>
    </row>
    <row r="229" spans="1:13">
      <c r="A229" s="135"/>
      <c r="B229" s="148"/>
      <c r="C229" s="147"/>
      <c r="D229" s="140"/>
      <c r="E229" s="140"/>
      <c r="F229" s="140"/>
      <c r="G229" s="148"/>
      <c r="H229" s="148"/>
      <c r="I229" s="141"/>
      <c r="J229" s="136"/>
      <c r="K229" s="135"/>
      <c r="L229" s="150"/>
      <c r="M229" s="135"/>
    </row>
    <row r="230" spans="1:13">
      <c r="A230" s="135"/>
      <c r="B230" s="148"/>
      <c r="C230" s="147"/>
      <c r="D230" s="140">
        <v>31.3</v>
      </c>
      <c r="E230" s="140" t="s">
        <v>136</v>
      </c>
      <c r="F230" s="140" t="s">
        <v>7</v>
      </c>
      <c r="G230" s="140" t="s">
        <v>7</v>
      </c>
      <c r="H230" s="140" t="s">
        <v>7</v>
      </c>
      <c r="I230" s="141"/>
      <c r="J230" s="141"/>
      <c r="K230" s="135">
        <v>9</v>
      </c>
      <c r="L230" s="150">
        <f>K230*A225</f>
        <v>3</v>
      </c>
      <c r="M230" s="135">
        <f>K230-L230</f>
        <v>6</v>
      </c>
    </row>
    <row r="231" spans="1:13">
      <c r="A231" s="135"/>
      <c r="B231" s="148"/>
      <c r="C231" s="147"/>
      <c r="D231" s="140">
        <v>32.299999999999997</v>
      </c>
      <c r="E231" s="140" t="s">
        <v>137</v>
      </c>
      <c r="F231" s="140" t="s">
        <v>6</v>
      </c>
      <c r="G231" s="140" t="s">
        <v>6</v>
      </c>
      <c r="H231" s="140" t="s">
        <v>6</v>
      </c>
      <c r="I231" s="141"/>
      <c r="J231" s="141"/>
      <c r="K231" s="135"/>
      <c r="L231" s="776">
        <f>COUNTIF(F230:H232,"Father")</f>
        <v>3</v>
      </c>
      <c r="M231" s="135">
        <f>COUNTIF(F230:H232,"Mother")</f>
        <v>6</v>
      </c>
    </row>
    <row r="232" spans="1:13">
      <c r="A232" s="135"/>
      <c r="B232" s="148"/>
      <c r="C232" s="147"/>
      <c r="D232" s="140">
        <v>33.299999999999997</v>
      </c>
      <c r="E232" s="140" t="s">
        <v>138</v>
      </c>
      <c r="F232" s="140" t="s">
        <v>7</v>
      </c>
      <c r="G232" s="140" t="s">
        <v>7</v>
      </c>
      <c r="H232" s="140" t="s">
        <v>7</v>
      </c>
      <c r="I232" s="141"/>
      <c r="J232" s="141"/>
      <c r="K232" s="135"/>
      <c r="L232" s="150"/>
      <c r="M232" s="135"/>
    </row>
    <row r="233" spans="1:13">
      <c r="A233" s="135"/>
      <c r="B233" s="148"/>
      <c r="C233" s="147"/>
      <c r="D233" s="140"/>
      <c r="E233" s="140"/>
      <c r="F233" s="140"/>
      <c r="G233" s="148"/>
      <c r="H233" s="148"/>
      <c r="I233" s="141"/>
      <c r="J233" s="136"/>
      <c r="K233" s="135"/>
      <c r="L233" s="150"/>
      <c r="M233" s="135"/>
    </row>
    <row r="234" spans="1:13">
      <c r="A234" s="135"/>
      <c r="B234" s="148"/>
      <c r="C234" s="147"/>
      <c r="D234" s="140">
        <v>41.3</v>
      </c>
      <c r="E234" s="140" t="s">
        <v>136</v>
      </c>
      <c r="F234" s="140" t="s">
        <v>7</v>
      </c>
      <c r="G234" s="140" t="s">
        <v>7</v>
      </c>
      <c r="H234" s="140" t="s">
        <v>7</v>
      </c>
      <c r="I234" s="141"/>
      <c r="J234" s="141"/>
      <c r="K234" s="135">
        <v>12</v>
      </c>
      <c r="L234" s="150">
        <f>K234*A225</f>
        <v>4</v>
      </c>
      <c r="M234" s="135">
        <f>K234-L234</f>
        <v>8</v>
      </c>
    </row>
    <row r="235" spans="1:13">
      <c r="A235" s="135"/>
      <c r="B235" s="148"/>
      <c r="C235" s="147"/>
      <c r="D235" s="140">
        <v>42.3</v>
      </c>
      <c r="E235" s="140" t="s">
        <v>137</v>
      </c>
      <c r="F235" s="140" t="s">
        <v>6</v>
      </c>
      <c r="G235" s="140" t="s">
        <v>6</v>
      </c>
      <c r="H235" s="140" t="s">
        <v>6</v>
      </c>
      <c r="I235" s="141"/>
      <c r="J235" s="141"/>
      <c r="K235" s="135"/>
      <c r="L235" s="776">
        <f>COUNTIF(F234:H237,"Father")</f>
        <v>4</v>
      </c>
      <c r="M235" s="135">
        <f>COUNTIF(F234:H237,"Mother")</f>
        <v>8</v>
      </c>
    </row>
    <row r="236" spans="1:13">
      <c r="A236" s="135"/>
      <c r="B236" s="148"/>
      <c r="C236" s="147"/>
      <c r="D236" s="140">
        <v>43.3</v>
      </c>
      <c r="E236" s="140" t="s">
        <v>138</v>
      </c>
      <c r="F236" s="140" t="s">
        <v>7</v>
      </c>
      <c r="G236" s="775" t="s">
        <v>7</v>
      </c>
      <c r="H236" s="775" t="s">
        <v>7</v>
      </c>
      <c r="I236" s="141"/>
      <c r="J236" s="141"/>
      <c r="K236" s="135"/>
      <c r="L236" s="150"/>
      <c r="M236" s="135"/>
    </row>
    <row r="237" spans="1:13">
      <c r="A237" s="135"/>
      <c r="B237" s="148"/>
      <c r="C237" s="147"/>
      <c r="D237" s="140">
        <v>44.3</v>
      </c>
      <c r="E237" s="140" t="s">
        <v>139</v>
      </c>
      <c r="F237" s="140" t="s">
        <v>7</v>
      </c>
      <c r="G237" s="775" t="s">
        <v>6</v>
      </c>
      <c r="H237" s="775" t="s">
        <v>7</v>
      </c>
      <c r="I237" s="141"/>
      <c r="J237" s="141"/>
      <c r="K237" s="135"/>
      <c r="L237" s="150"/>
      <c r="M237" s="135"/>
    </row>
    <row r="238" spans="1:13">
      <c r="A238" s="135"/>
      <c r="B238" s="148"/>
      <c r="C238" s="147"/>
      <c r="D238" s="140"/>
      <c r="E238" s="140"/>
      <c r="F238" s="140"/>
      <c r="G238" s="148"/>
      <c r="H238" s="148"/>
      <c r="I238" s="141"/>
      <c r="J238" s="136"/>
      <c r="K238" s="135"/>
      <c r="L238" s="150"/>
      <c r="M238" s="135"/>
    </row>
    <row r="239" spans="1:13">
      <c r="A239" s="135"/>
      <c r="B239" s="148"/>
      <c r="C239" s="147"/>
      <c r="D239" s="140">
        <v>51.3</v>
      </c>
      <c r="E239" s="140" t="s">
        <v>136</v>
      </c>
      <c r="F239" s="140" t="s">
        <v>7</v>
      </c>
      <c r="G239" s="140" t="s">
        <v>7</v>
      </c>
      <c r="H239" s="140" t="s">
        <v>7</v>
      </c>
      <c r="I239" s="141"/>
      <c r="J239" s="141"/>
      <c r="K239" s="135">
        <v>15</v>
      </c>
      <c r="L239" s="150">
        <f>K239*A225</f>
        <v>5</v>
      </c>
      <c r="M239" s="135">
        <f>K239-L239</f>
        <v>10</v>
      </c>
    </row>
    <row r="240" spans="1:13">
      <c r="A240" s="135"/>
      <c r="B240" s="148"/>
      <c r="C240" s="147"/>
      <c r="D240" s="140">
        <v>52.3</v>
      </c>
      <c r="E240" s="140" t="s">
        <v>137</v>
      </c>
      <c r="F240" s="140" t="s">
        <v>6</v>
      </c>
      <c r="G240" s="775" t="s">
        <v>6</v>
      </c>
      <c r="H240" s="775" t="s">
        <v>6</v>
      </c>
      <c r="I240" s="141"/>
      <c r="J240" s="141"/>
      <c r="K240" s="135"/>
      <c r="L240" s="776">
        <f>COUNTIF(F239:H243,"Father")</f>
        <v>5</v>
      </c>
      <c r="M240" s="135">
        <f>COUNTIF(F239:H243,"Mother")</f>
        <v>10</v>
      </c>
    </row>
    <row r="241" spans="1:13">
      <c r="A241" s="135"/>
      <c r="B241" s="148"/>
      <c r="C241" s="147"/>
      <c r="D241" s="140">
        <v>53.3</v>
      </c>
      <c r="E241" s="140" t="s">
        <v>138</v>
      </c>
      <c r="F241" s="140" t="s">
        <v>7</v>
      </c>
      <c r="G241" s="140" t="s">
        <v>7</v>
      </c>
      <c r="H241" s="140" t="s">
        <v>7</v>
      </c>
      <c r="I241" s="141"/>
      <c r="J241" s="141"/>
      <c r="K241" s="135"/>
      <c r="L241" s="150"/>
      <c r="M241" s="135"/>
    </row>
    <row r="242" spans="1:13">
      <c r="A242" s="135"/>
      <c r="B242" s="148"/>
      <c r="C242" s="147"/>
      <c r="D242" s="140">
        <v>54.3</v>
      </c>
      <c r="E242" s="140" t="s">
        <v>139</v>
      </c>
      <c r="F242" s="140" t="s">
        <v>7</v>
      </c>
      <c r="G242" s="140" t="s">
        <v>7</v>
      </c>
      <c r="H242" s="140" t="s">
        <v>7</v>
      </c>
      <c r="I242" s="141"/>
      <c r="J242" s="141"/>
      <c r="K242" s="135"/>
      <c r="L242" s="150"/>
      <c r="M242" s="135"/>
    </row>
    <row r="243" spans="1:13">
      <c r="A243" s="135"/>
      <c r="B243" s="148"/>
      <c r="C243" s="147"/>
      <c r="D243" s="140">
        <v>55.3</v>
      </c>
      <c r="E243" s="140" t="s">
        <v>140</v>
      </c>
      <c r="F243" s="140" t="s">
        <v>6</v>
      </c>
      <c r="G243" s="775" t="s">
        <v>7</v>
      </c>
      <c r="H243" s="775" t="s">
        <v>6</v>
      </c>
      <c r="I243" s="141"/>
      <c r="J243" s="141"/>
      <c r="K243" s="135"/>
      <c r="L243" s="150"/>
      <c r="M243" s="135"/>
    </row>
    <row r="244" spans="1:13">
      <c r="A244" s="135"/>
      <c r="B244" s="148"/>
      <c r="C244" s="147"/>
      <c r="D244" s="140"/>
      <c r="E244" s="140"/>
      <c r="F244" s="140"/>
      <c r="G244" s="148"/>
      <c r="H244" s="148"/>
      <c r="I244" s="141"/>
      <c r="J244" s="136"/>
      <c r="K244" s="135"/>
      <c r="L244" s="150"/>
      <c r="M244" s="135"/>
    </row>
    <row r="245" spans="1:13">
      <c r="A245" s="135"/>
      <c r="B245" s="148"/>
      <c r="C245" s="147"/>
      <c r="D245" s="140">
        <v>61.3</v>
      </c>
      <c r="E245" s="140" t="s">
        <v>136</v>
      </c>
      <c r="F245" s="140" t="s">
        <v>7</v>
      </c>
      <c r="G245" s="140" t="s">
        <v>7</v>
      </c>
      <c r="H245" s="140" t="s">
        <v>7</v>
      </c>
      <c r="I245" s="141"/>
      <c r="J245" s="141"/>
      <c r="K245" s="135">
        <v>18</v>
      </c>
      <c r="L245" s="150">
        <f>K245*A225</f>
        <v>6</v>
      </c>
      <c r="M245" s="135">
        <f>K245-L245</f>
        <v>12</v>
      </c>
    </row>
    <row r="246" spans="1:13">
      <c r="A246" s="135"/>
      <c r="B246" s="148"/>
      <c r="C246" s="147"/>
      <c r="D246" s="140">
        <v>62.3</v>
      </c>
      <c r="E246" s="140" t="s">
        <v>137</v>
      </c>
      <c r="F246" s="140" t="s">
        <v>6</v>
      </c>
      <c r="G246" s="140" t="s">
        <v>6</v>
      </c>
      <c r="H246" s="140" t="s">
        <v>6</v>
      </c>
      <c r="I246" s="141"/>
      <c r="J246" s="141"/>
      <c r="K246" s="135"/>
      <c r="L246" s="776">
        <f>COUNTIF(F245:H250,"Father")</f>
        <v>6</v>
      </c>
      <c r="M246" s="135">
        <f>COUNTIF(F245:H250,"Mother")</f>
        <v>12</v>
      </c>
    </row>
    <row r="247" spans="1:13">
      <c r="A247" s="135"/>
      <c r="B247" s="148"/>
      <c r="C247" s="147"/>
      <c r="D247" s="140">
        <v>63.3</v>
      </c>
      <c r="E247" s="140" t="s">
        <v>138</v>
      </c>
      <c r="F247" s="140" t="s">
        <v>7</v>
      </c>
      <c r="G247" s="140" t="s">
        <v>7</v>
      </c>
      <c r="H247" s="140" t="s">
        <v>7</v>
      </c>
      <c r="I247" s="141"/>
      <c r="J247" s="141"/>
      <c r="K247" s="135"/>
      <c r="L247" s="150"/>
      <c r="M247" s="135"/>
    </row>
    <row r="248" spans="1:13">
      <c r="A248" s="135"/>
      <c r="B248" s="148"/>
      <c r="C248" s="147"/>
      <c r="D248" s="140">
        <v>64.3</v>
      </c>
      <c r="E248" s="140" t="s">
        <v>139</v>
      </c>
      <c r="F248" s="140" t="s">
        <v>7</v>
      </c>
      <c r="G248" s="140" t="s">
        <v>7</v>
      </c>
      <c r="H248" s="140" t="s">
        <v>7</v>
      </c>
      <c r="I248" s="141"/>
      <c r="J248" s="141"/>
      <c r="K248" s="135"/>
      <c r="L248" s="150"/>
      <c r="M248" s="135"/>
    </row>
    <row r="249" spans="1:13">
      <c r="A249" s="135"/>
      <c r="B249" s="148"/>
      <c r="C249" s="147"/>
      <c r="D249" s="140">
        <v>65.3</v>
      </c>
      <c r="E249" s="140" t="s">
        <v>140</v>
      </c>
      <c r="F249" s="140" t="s">
        <v>6</v>
      </c>
      <c r="G249" s="140" t="s">
        <v>6</v>
      </c>
      <c r="H249" s="140" t="s">
        <v>6</v>
      </c>
      <c r="I249" s="141"/>
      <c r="J249" s="141"/>
      <c r="K249" s="135"/>
      <c r="L249" s="150"/>
      <c r="M249" s="135"/>
    </row>
    <row r="250" spans="1:13">
      <c r="A250" s="173"/>
      <c r="B250" s="152"/>
      <c r="C250" s="124"/>
      <c r="D250" s="153">
        <v>66.3</v>
      </c>
      <c r="E250" s="153" t="s">
        <v>141</v>
      </c>
      <c r="F250" s="140" t="s">
        <v>7</v>
      </c>
      <c r="G250" s="140" t="s">
        <v>7</v>
      </c>
      <c r="H250" s="140" t="s">
        <v>7</v>
      </c>
      <c r="I250" s="153"/>
      <c r="J250" s="153"/>
      <c r="K250" s="151"/>
      <c r="L250" s="154"/>
      <c r="M250" s="151"/>
    </row>
    <row r="251" spans="1:13">
      <c r="A251" s="146"/>
      <c r="B251" s="129"/>
      <c r="C251" s="144"/>
      <c r="D251" s="160"/>
      <c r="E251" s="160"/>
      <c r="F251" s="160"/>
      <c r="G251" s="160"/>
      <c r="H251" s="160"/>
      <c r="I251" s="160"/>
      <c r="J251" s="160"/>
      <c r="K251" s="146"/>
      <c r="L251" s="162"/>
      <c r="M251" s="146"/>
    </row>
    <row r="252" spans="1:13">
      <c r="A252" s="157">
        <v>0.25</v>
      </c>
      <c r="B252" s="148">
        <v>0.25</v>
      </c>
      <c r="C252" s="158" t="s">
        <v>149</v>
      </c>
      <c r="D252" s="140">
        <v>11.25</v>
      </c>
      <c r="E252" s="140" t="s">
        <v>136</v>
      </c>
      <c r="F252" s="140" t="s">
        <v>7</v>
      </c>
      <c r="G252" s="140" t="s">
        <v>7</v>
      </c>
      <c r="H252" s="140" t="s">
        <v>7</v>
      </c>
      <c r="I252" s="140" t="s">
        <v>6</v>
      </c>
      <c r="J252" s="141"/>
      <c r="K252" s="135">
        <v>4</v>
      </c>
      <c r="L252" s="150">
        <f>K252*A252</f>
        <v>1</v>
      </c>
      <c r="M252" s="135">
        <f>K252-L252</f>
        <v>3</v>
      </c>
    </row>
    <row r="253" spans="1:13">
      <c r="A253" s="135"/>
      <c r="B253" s="148"/>
      <c r="C253" s="147"/>
      <c r="D253" s="140"/>
      <c r="E253" s="140"/>
      <c r="F253" s="140"/>
      <c r="G253" s="148"/>
      <c r="H253" s="148"/>
      <c r="I253" s="148"/>
      <c r="J253" s="141"/>
      <c r="K253" s="135"/>
      <c r="L253" s="150"/>
      <c r="M253" s="135"/>
    </row>
    <row r="254" spans="1:13">
      <c r="A254" s="135"/>
      <c r="B254" s="148"/>
      <c r="C254" s="147"/>
      <c r="D254" s="140">
        <v>21.25</v>
      </c>
      <c r="E254" s="140" t="s">
        <v>136</v>
      </c>
      <c r="F254" s="140" t="s">
        <v>7</v>
      </c>
      <c r="G254" s="775" t="s">
        <v>7</v>
      </c>
      <c r="H254" s="140" t="s">
        <v>7</v>
      </c>
      <c r="I254" s="775" t="s">
        <v>7</v>
      </c>
      <c r="J254" s="141"/>
      <c r="K254" s="135">
        <v>8</v>
      </c>
      <c r="L254" s="150">
        <f>K254*A252</f>
        <v>2</v>
      </c>
      <c r="M254" s="135">
        <f>K254-L254</f>
        <v>6</v>
      </c>
    </row>
    <row r="255" spans="1:13">
      <c r="A255" s="135"/>
      <c r="B255" s="148"/>
      <c r="C255" s="147"/>
      <c r="D255" s="140">
        <v>22.25</v>
      </c>
      <c r="E255" s="140" t="s">
        <v>137</v>
      </c>
      <c r="F255" s="140" t="s">
        <v>7</v>
      </c>
      <c r="G255" s="775" t="s">
        <v>6</v>
      </c>
      <c r="H255" s="140" t="s">
        <v>7</v>
      </c>
      <c r="I255" s="775" t="s">
        <v>6</v>
      </c>
      <c r="J255" s="141"/>
      <c r="K255" s="135"/>
      <c r="L255" s="150">
        <f>COUNTIF(F254:I255,"Father")</f>
        <v>2</v>
      </c>
      <c r="M255" s="135">
        <f>COUNTIF(F254:I255,"Mother")</f>
        <v>6</v>
      </c>
    </row>
    <row r="256" spans="1:13">
      <c r="A256" s="135"/>
      <c r="B256" s="148"/>
      <c r="C256" s="147"/>
      <c r="D256" s="140"/>
      <c r="E256" s="140"/>
      <c r="F256" s="140"/>
      <c r="G256" s="148"/>
      <c r="H256" s="148"/>
      <c r="I256" s="148"/>
      <c r="J256" s="141"/>
      <c r="K256" s="135"/>
      <c r="L256" s="150"/>
      <c r="M256" s="135"/>
    </row>
    <row r="257" spans="1:13">
      <c r="A257" s="135"/>
      <c r="B257" s="148"/>
      <c r="C257" s="147"/>
      <c r="D257" s="140">
        <v>31.25</v>
      </c>
      <c r="E257" s="140" t="s">
        <v>136</v>
      </c>
      <c r="F257" s="140" t="s">
        <v>7</v>
      </c>
      <c r="G257" s="148" t="s">
        <v>7</v>
      </c>
      <c r="H257" s="148" t="s">
        <v>7</v>
      </c>
      <c r="I257" s="148" t="s">
        <v>7</v>
      </c>
      <c r="J257" s="141"/>
      <c r="K257" s="135">
        <v>12</v>
      </c>
      <c r="L257" s="150">
        <f>K257*A252</f>
        <v>3</v>
      </c>
      <c r="M257" s="135">
        <f>K257-L257</f>
        <v>9</v>
      </c>
    </row>
    <row r="258" spans="1:13">
      <c r="A258" s="135"/>
      <c r="B258" s="148"/>
      <c r="C258" s="147"/>
      <c r="D258" s="140">
        <v>32.25</v>
      </c>
      <c r="E258" s="140" t="s">
        <v>137</v>
      </c>
      <c r="F258" s="140" t="s">
        <v>7</v>
      </c>
      <c r="G258" s="148" t="s">
        <v>7</v>
      </c>
      <c r="H258" s="148" t="s">
        <v>7</v>
      </c>
      <c r="I258" s="148" t="s">
        <v>7</v>
      </c>
      <c r="J258" s="141"/>
      <c r="K258" s="135"/>
      <c r="L258" s="150">
        <f>COUNTIF(F257:I259,"Father")</f>
        <v>3</v>
      </c>
      <c r="M258" s="135">
        <f>COUNTIF(F257:I259,"Mother")</f>
        <v>9</v>
      </c>
    </row>
    <row r="259" spans="1:13">
      <c r="A259" s="135"/>
      <c r="B259" s="148"/>
      <c r="C259" s="147"/>
      <c r="D259" s="140">
        <v>33.25</v>
      </c>
      <c r="E259" s="140" t="s">
        <v>138</v>
      </c>
      <c r="F259" s="140" t="s">
        <v>6</v>
      </c>
      <c r="G259" s="140" t="s">
        <v>6</v>
      </c>
      <c r="H259" s="140" t="s">
        <v>6</v>
      </c>
      <c r="I259" s="140" t="s">
        <v>7</v>
      </c>
      <c r="J259" s="141"/>
      <c r="K259" s="135"/>
      <c r="L259" s="150"/>
      <c r="M259" s="135"/>
    </row>
    <row r="260" spans="1:13">
      <c r="A260" s="135"/>
      <c r="B260" s="148"/>
      <c r="C260" s="147"/>
      <c r="D260" s="140"/>
      <c r="E260" s="140"/>
      <c r="F260" s="140"/>
      <c r="G260" s="148"/>
      <c r="H260" s="148"/>
      <c r="I260" s="148"/>
      <c r="J260" s="141"/>
      <c r="K260" s="135"/>
      <c r="L260" s="150"/>
      <c r="M260" s="135"/>
    </row>
    <row r="261" spans="1:13">
      <c r="A261" s="135"/>
      <c r="B261" s="148"/>
      <c r="C261" s="147"/>
      <c r="D261" s="140">
        <v>41.25</v>
      </c>
      <c r="E261" s="140" t="s">
        <v>136</v>
      </c>
      <c r="F261" s="148" t="s">
        <v>7</v>
      </c>
      <c r="G261" s="148" t="s">
        <v>7</v>
      </c>
      <c r="H261" s="148" t="s">
        <v>7</v>
      </c>
      <c r="I261" s="148" t="s">
        <v>7</v>
      </c>
      <c r="J261" s="141"/>
      <c r="K261" s="135">
        <v>16</v>
      </c>
      <c r="L261" s="150">
        <f>K261*A252</f>
        <v>4</v>
      </c>
      <c r="M261" s="135">
        <f>K261-L261</f>
        <v>12</v>
      </c>
    </row>
    <row r="262" spans="1:13">
      <c r="A262" s="135"/>
      <c r="B262" s="148"/>
      <c r="C262" s="147"/>
      <c r="D262" s="140">
        <v>42.25</v>
      </c>
      <c r="E262" s="140" t="s">
        <v>137</v>
      </c>
      <c r="F262" s="148" t="s">
        <v>7</v>
      </c>
      <c r="G262" s="148" t="s">
        <v>7</v>
      </c>
      <c r="H262" s="148" t="s">
        <v>7</v>
      </c>
      <c r="I262" s="148" t="s">
        <v>7</v>
      </c>
      <c r="J262" s="136"/>
      <c r="K262" s="135"/>
      <c r="L262" s="150">
        <f>COUNTIF(F261:I264,"Father")</f>
        <v>4</v>
      </c>
      <c r="M262" s="135">
        <f>COUNTIF(F261:I264,"Mother")</f>
        <v>12</v>
      </c>
    </row>
    <row r="263" spans="1:13">
      <c r="A263" s="135"/>
      <c r="B263" s="148"/>
      <c r="C263" s="147"/>
      <c r="D263" s="140">
        <v>43.25</v>
      </c>
      <c r="E263" s="140" t="s">
        <v>138</v>
      </c>
      <c r="F263" s="148" t="s">
        <v>7</v>
      </c>
      <c r="G263" s="148" t="s">
        <v>7</v>
      </c>
      <c r="H263" s="148" t="s">
        <v>7</v>
      </c>
      <c r="I263" s="148" t="s">
        <v>7</v>
      </c>
      <c r="J263" s="136"/>
      <c r="K263" s="135"/>
      <c r="L263" s="150"/>
      <c r="M263" s="135"/>
    </row>
    <row r="264" spans="1:13">
      <c r="A264" s="135"/>
      <c r="B264" s="148"/>
      <c r="C264" s="147"/>
      <c r="D264" s="140">
        <v>44.25</v>
      </c>
      <c r="E264" s="140" t="s">
        <v>139</v>
      </c>
      <c r="F264" s="140" t="s">
        <v>6</v>
      </c>
      <c r="G264" s="140" t="s">
        <v>6</v>
      </c>
      <c r="H264" s="140" t="s">
        <v>6</v>
      </c>
      <c r="I264" s="140" t="s">
        <v>6</v>
      </c>
      <c r="J264" s="141"/>
      <c r="K264" s="135"/>
      <c r="L264" s="150"/>
      <c r="M264" s="135"/>
    </row>
    <row r="265" spans="1:13">
      <c r="A265" s="135"/>
      <c r="B265" s="148"/>
      <c r="C265" s="147"/>
      <c r="D265" s="140"/>
      <c r="E265" s="140"/>
      <c r="F265" s="140"/>
      <c r="G265" s="148"/>
      <c r="H265" s="148"/>
      <c r="I265" s="148"/>
      <c r="J265" s="141"/>
      <c r="K265" s="135"/>
      <c r="L265" s="150"/>
      <c r="M265" s="135"/>
    </row>
    <row r="266" spans="1:13">
      <c r="A266" s="135"/>
      <c r="B266" s="148"/>
      <c r="C266" s="147"/>
      <c r="D266" s="140">
        <v>51.25</v>
      </c>
      <c r="E266" s="140" t="s">
        <v>136</v>
      </c>
      <c r="F266" s="140" t="s">
        <v>7</v>
      </c>
      <c r="G266" s="140" t="s">
        <v>7</v>
      </c>
      <c r="H266" s="140" t="s">
        <v>7</v>
      </c>
      <c r="I266" s="140" t="s">
        <v>7</v>
      </c>
      <c r="J266" s="141"/>
      <c r="K266" s="135">
        <v>20</v>
      </c>
      <c r="L266" s="150">
        <f>K266*A252</f>
        <v>5</v>
      </c>
      <c r="M266" s="135">
        <f>K266-L266</f>
        <v>15</v>
      </c>
    </row>
    <row r="267" spans="1:13">
      <c r="A267" s="135"/>
      <c r="B267" s="148"/>
      <c r="C267" s="147"/>
      <c r="D267" s="140">
        <v>52.25</v>
      </c>
      <c r="E267" s="140" t="s">
        <v>137</v>
      </c>
      <c r="F267" s="140" t="s">
        <v>7</v>
      </c>
      <c r="G267" s="140" t="s">
        <v>7</v>
      </c>
      <c r="H267" s="140" t="s">
        <v>7</v>
      </c>
      <c r="I267" s="775" t="s">
        <v>7</v>
      </c>
      <c r="J267" s="141"/>
      <c r="K267" s="135"/>
      <c r="L267" s="150">
        <f>COUNTIF(F266:I270,"Father")</f>
        <v>5</v>
      </c>
      <c r="M267" s="135">
        <f>COUNTIF(F266:I270,"Mother")</f>
        <v>15</v>
      </c>
    </row>
    <row r="268" spans="1:13">
      <c r="A268" s="135"/>
      <c r="B268" s="148"/>
      <c r="C268" s="147"/>
      <c r="D268" s="140">
        <v>53.25</v>
      </c>
      <c r="E268" s="140" t="s">
        <v>138</v>
      </c>
      <c r="F268" s="140" t="s">
        <v>7</v>
      </c>
      <c r="G268" s="140" t="s">
        <v>7</v>
      </c>
      <c r="H268" s="140" t="s">
        <v>7</v>
      </c>
      <c r="I268" s="140" t="s">
        <v>7</v>
      </c>
      <c r="J268" s="141"/>
      <c r="K268" s="135"/>
      <c r="L268" s="150"/>
      <c r="M268" s="135"/>
    </row>
    <row r="269" spans="1:13">
      <c r="A269" s="135"/>
      <c r="B269" s="148"/>
      <c r="C269" s="147"/>
      <c r="D269" s="140">
        <v>54.25</v>
      </c>
      <c r="E269" s="140" t="s">
        <v>139</v>
      </c>
      <c r="F269" s="775" t="s">
        <v>6</v>
      </c>
      <c r="G269" s="140" t="s">
        <v>7</v>
      </c>
      <c r="H269" s="140" t="s">
        <v>7</v>
      </c>
      <c r="I269" s="775" t="s">
        <v>7</v>
      </c>
      <c r="J269" s="141"/>
      <c r="K269" s="135"/>
      <c r="L269" s="150"/>
      <c r="M269" s="135"/>
    </row>
    <row r="270" spans="1:13">
      <c r="A270" s="135"/>
      <c r="B270" s="148"/>
      <c r="C270" s="147"/>
      <c r="D270" s="140">
        <v>55.25</v>
      </c>
      <c r="E270" s="140" t="s">
        <v>140</v>
      </c>
      <c r="F270" s="140" t="s">
        <v>6</v>
      </c>
      <c r="G270" s="140" t="s">
        <v>6</v>
      </c>
      <c r="H270" s="140" t="s">
        <v>6</v>
      </c>
      <c r="I270" s="140" t="s">
        <v>6</v>
      </c>
      <c r="J270" s="141"/>
      <c r="K270" s="135"/>
      <c r="L270" s="150"/>
      <c r="M270" s="135"/>
    </row>
    <row r="271" spans="1:13">
      <c r="A271" s="135"/>
      <c r="B271" s="148"/>
      <c r="C271" s="147"/>
      <c r="D271" s="140"/>
      <c r="E271" s="140"/>
      <c r="F271" s="140"/>
      <c r="G271" s="148"/>
      <c r="H271" s="148"/>
      <c r="I271" s="148"/>
      <c r="J271" s="141"/>
      <c r="K271" s="135"/>
      <c r="L271" s="150"/>
      <c r="M271" s="135"/>
    </row>
    <row r="272" spans="1:13">
      <c r="A272" s="135"/>
      <c r="B272" s="148"/>
      <c r="C272" s="147"/>
      <c r="D272" s="140">
        <v>61.25</v>
      </c>
      <c r="E272" s="140" t="s">
        <v>136</v>
      </c>
      <c r="F272" s="140" t="s">
        <v>7</v>
      </c>
      <c r="G272" s="140" t="s">
        <v>7</v>
      </c>
      <c r="H272" s="140" t="s">
        <v>7</v>
      </c>
      <c r="I272" s="140" t="s">
        <v>7</v>
      </c>
      <c r="J272" s="141"/>
      <c r="K272" s="135">
        <v>24</v>
      </c>
      <c r="L272" s="150">
        <f>K272*A252</f>
        <v>6</v>
      </c>
      <c r="M272" s="135">
        <f>K272-L272</f>
        <v>18</v>
      </c>
    </row>
    <row r="273" spans="1:13">
      <c r="A273" s="135"/>
      <c r="B273" s="148"/>
      <c r="C273" s="147"/>
      <c r="D273" s="140">
        <v>62.25</v>
      </c>
      <c r="E273" s="140" t="s">
        <v>137</v>
      </c>
      <c r="F273" s="140" t="s">
        <v>7</v>
      </c>
      <c r="G273" s="140" t="s">
        <v>7</v>
      </c>
      <c r="H273" s="140" t="s">
        <v>7</v>
      </c>
      <c r="I273" s="140" t="s">
        <v>7</v>
      </c>
      <c r="J273" s="141"/>
      <c r="K273" s="135"/>
      <c r="L273" s="150">
        <f>COUNTIF(F272:I277,"Father")</f>
        <v>6</v>
      </c>
      <c r="M273" s="135">
        <f>COUNTIF(F272:I277,"Mother")</f>
        <v>18</v>
      </c>
    </row>
    <row r="274" spans="1:13">
      <c r="A274" s="135"/>
      <c r="B274" s="148"/>
      <c r="C274" s="147"/>
      <c r="D274" s="140">
        <v>63.25</v>
      </c>
      <c r="E274" s="140" t="s">
        <v>138</v>
      </c>
      <c r="F274" s="140" t="s">
        <v>7</v>
      </c>
      <c r="G274" s="140" t="s">
        <v>7</v>
      </c>
      <c r="H274" s="140" t="s">
        <v>7</v>
      </c>
      <c r="I274" s="140" t="s">
        <v>7</v>
      </c>
      <c r="J274" s="141"/>
      <c r="K274" s="135"/>
      <c r="L274" s="150"/>
      <c r="M274" s="135"/>
    </row>
    <row r="275" spans="1:13">
      <c r="A275" s="135"/>
      <c r="B275" s="148"/>
      <c r="C275" s="147"/>
      <c r="D275" s="140">
        <v>64.25</v>
      </c>
      <c r="E275" s="140" t="s">
        <v>139</v>
      </c>
      <c r="F275" s="140" t="s">
        <v>7</v>
      </c>
      <c r="G275" s="140" t="s">
        <v>7</v>
      </c>
      <c r="H275" s="140" t="s">
        <v>7</v>
      </c>
      <c r="I275" s="140" t="s">
        <v>7</v>
      </c>
      <c r="J275" s="141"/>
      <c r="K275" s="135"/>
      <c r="L275" s="150"/>
      <c r="M275" s="135"/>
    </row>
    <row r="276" spans="1:13">
      <c r="A276" s="135"/>
      <c r="B276" s="148"/>
      <c r="C276" s="147"/>
      <c r="D276" s="140">
        <v>65.25</v>
      </c>
      <c r="E276" s="140" t="s">
        <v>140</v>
      </c>
      <c r="F276" s="140" t="s">
        <v>6</v>
      </c>
      <c r="G276" s="140" t="s">
        <v>7</v>
      </c>
      <c r="H276" s="140" t="s">
        <v>6</v>
      </c>
      <c r="I276" s="140" t="s">
        <v>7</v>
      </c>
      <c r="J276" s="141"/>
      <c r="K276" s="135"/>
      <c r="L276" s="150"/>
      <c r="M276" s="135"/>
    </row>
    <row r="277" spans="1:13">
      <c r="A277" s="173"/>
      <c r="B277" s="152"/>
      <c r="C277" s="124"/>
      <c r="D277" s="153">
        <v>66.25</v>
      </c>
      <c r="E277" s="153" t="s">
        <v>141</v>
      </c>
      <c r="F277" s="153" t="s">
        <v>6</v>
      </c>
      <c r="G277" s="153" t="s">
        <v>6</v>
      </c>
      <c r="H277" s="153" t="s">
        <v>6</v>
      </c>
      <c r="I277" s="153" t="s">
        <v>6</v>
      </c>
      <c r="J277" s="153"/>
      <c r="K277" s="151"/>
      <c r="L277" s="154"/>
      <c r="M277" s="151"/>
    </row>
    <row r="278" spans="1:13">
      <c r="A278" s="135"/>
      <c r="B278" s="148"/>
      <c r="C278" s="147"/>
      <c r="D278" s="140"/>
      <c r="E278" s="140"/>
      <c r="F278" s="140"/>
      <c r="G278" s="148"/>
      <c r="H278" s="148"/>
      <c r="I278" s="148"/>
      <c r="J278" s="148"/>
      <c r="K278" s="135"/>
      <c r="L278" s="150"/>
      <c r="M278" s="135"/>
    </row>
    <row r="279" spans="1:13">
      <c r="A279" s="157">
        <v>0.2</v>
      </c>
      <c r="B279" s="148">
        <v>0.2</v>
      </c>
      <c r="C279" s="158" t="s">
        <v>150</v>
      </c>
      <c r="D279" s="140">
        <v>11.2</v>
      </c>
      <c r="E279" s="140" t="s">
        <v>136</v>
      </c>
      <c r="F279" s="140" t="s">
        <v>7</v>
      </c>
      <c r="G279" s="148" t="s">
        <v>7</v>
      </c>
      <c r="H279" s="148" t="s">
        <v>7</v>
      </c>
      <c r="I279" s="148" t="s">
        <v>7</v>
      </c>
      <c r="J279" s="148" t="s">
        <v>6</v>
      </c>
      <c r="K279" s="135">
        <v>5</v>
      </c>
      <c r="L279" s="134">
        <f>K279*A279</f>
        <v>1</v>
      </c>
      <c r="M279" s="135">
        <f>K279-L279</f>
        <v>4</v>
      </c>
    </row>
    <row r="280" spans="1:13">
      <c r="A280" s="135"/>
      <c r="B280" s="148"/>
      <c r="C280" s="147"/>
      <c r="D280" s="140"/>
      <c r="E280" s="140"/>
      <c r="F280" s="140"/>
      <c r="G280" s="148"/>
      <c r="H280" s="148"/>
      <c r="I280" s="148"/>
      <c r="J280" s="148"/>
      <c r="K280" s="135"/>
      <c r="L280" s="150"/>
      <c r="M280" s="135"/>
    </row>
    <row r="281" spans="1:13">
      <c r="A281" s="135"/>
      <c r="B281" s="148"/>
      <c r="C281" s="147"/>
      <c r="D281" s="140">
        <v>21.2</v>
      </c>
      <c r="E281" s="140" t="s">
        <v>136</v>
      </c>
      <c r="F281" s="140" t="s">
        <v>7</v>
      </c>
      <c r="G281" s="773" t="s">
        <v>7</v>
      </c>
      <c r="H281" s="148" t="s">
        <v>7</v>
      </c>
      <c r="I281" s="773" t="s">
        <v>7</v>
      </c>
      <c r="J281" s="148" t="s">
        <v>7</v>
      </c>
      <c r="K281" s="135">
        <v>10</v>
      </c>
      <c r="L281" s="134">
        <f>K281*A279</f>
        <v>2</v>
      </c>
      <c r="M281" s="135">
        <f>K281-L281</f>
        <v>8</v>
      </c>
    </row>
    <row r="282" spans="1:13">
      <c r="A282" s="135"/>
      <c r="B282" s="148"/>
      <c r="C282" s="147"/>
      <c r="D282" s="140">
        <v>22.2</v>
      </c>
      <c r="E282" s="140" t="s">
        <v>137</v>
      </c>
      <c r="F282" s="140" t="s">
        <v>7</v>
      </c>
      <c r="G282" s="773" t="s">
        <v>6</v>
      </c>
      <c r="H282" s="148" t="s">
        <v>7</v>
      </c>
      <c r="I282" s="773" t="s">
        <v>6</v>
      </c>
      <c r="J282" s="148" t="s">
        <v>7</v>
      </c>
      <c r="K282" s="135"/>
      <c r="L282" s="150">
        <f>COUNTIF(F281:J282,"Father")</f>
        <v>2</v>
      </c>
      <c r="M282" s="135">
        <f>COUNTIF(E281:J282,"Mother")</f>
        <v>8</v>
      </c>
    </row>
    <row r="283" spans="1:13">
      <c r="A283" s="135"/>
      <c r="B283" s="148"/>
      <c r="C283" s="147"/>
      <c r="D283" s="140"/>
      <c r="E283" s="140"/>
      <c r="F283" s="140"/>
      <c r="G283" s="148"/>
      <c r="H283" s="148"/>
      <c r="I283" s="148"/>
      <c r="J283" s="148"/>
      <c r="K283" s="135"/>
      <c r="L283" s="150"/>
      <c r="M283" s="135"/>
    </row>
    <row r="284" spans="1:13">
      <c r="A284" s="135"/>
      <c r="B284" s="148"/>
      <c r="C284" s="147"/>
      <c r="D284" s="140">
        <v>31.2</v>
      </c>
      <c r="E284" s="140" t="s">
        <v>136</v>
      </c>
      <c r="F284" s="140" t="s">
        <v>7</v>
      </c>
      <c r="G284" s="148" t="s">
        <v>7</v>
      </c>
      <c r="H284" s="140" t="s">
        <v>7</v>
      </c>
      <c r="I284" s="148" t="s">
        <v>7</v>
      </c>
      <c r="J284" s="140" t="s">
        <v>7</v>
      </c>
      <c r="K284" s="135">
        <v>15</v>
      </c>
      <c r="L284" s="150">
        <f>K284*A279</f>
        <v>3</v>
      </c>
      <c r="M284" s="135">
        <f>K284-L284</f>
        <v>12</v>
      </c>
    </row>
    <row r="285" spans="1:13">
      <c r="A285" s="135"/>
      <c r="B285" s="148"/>
      <c r="C285" s="147"/>
      <c r="D285" s="140">
        <v>32.200000000000003</v>
      </c>
      <c r="E285" s="140" t="s">
        <v>137</v>
      </c>
      <c r="F285" s="140" t="s">
        <v>7</v>
      </c>
      <c r="G285" s="148" t="s">
        <v>7</v>
      </c>
      <c r="H285" s="140" t="s">
        <v>7</v>
      </c>
      <c r="I285" s="148" t="s">
        <v>7</v>
      </c>
      <c r="J285" s="140" t="s">
        <v>7</v>
      </c>
      <c r="K285" s="135"/>
      <c r="L285" s="150">
        <f>COUNTIF(F284:J286,"Father")</f>
        <v>3</v>
      </c>
      <c r="M285" s="135">
        <f>COUNTIF(F284:J286,"Mother")</f>
        <v>12</v>
      </c>
    </row>
    <row r="286" spans="1:13">
      <c r="A286" s="135"/>
      <c r="B286" s="148"/>
      <c r="C286" s="147"/>
      <c r="D286" s="140">
        <v>33.200000000000003</v>
      </c>
      <c r="E286" s="140" t="s">
        <v>138</v>
      </c>
      <c r="F286" s="140" t="s">
        <v>6</v>
      </c>
      <c r="G286" s="148" t="s">
        <v>7</v>
      </c>
      <c r="H286" s="140" t="s">
        <v>6</v>
      </c>
      <c r="I286" s="148" t="s">
        <v>7</v>
      </c>
      <c r="J286" s="140" t="s">
        <v>6</v>
      </c>
      <c r="K286" s="135"/>
      <c r="L286" s="150"/>
      <c r="M286" s="135"/>
    </row>
    <row r="287" spans="1:13">
      <c r="A287" s="135"/>
      <c r="B287" s="148"/>
      <c r="C287" s="147"/>
      <c r="D287" s="140"/>
      <c r="E287" s="140"/>
      <c r="F287" s="140"/>
      <c r="G287" s="148"/>
      <c r="H287" s="148"/>
      <c r="I287" s="148"/>
      <c r="J287" s="148"/>
      <c r="K287" s="135"/>
      <c r="L287" s="150"/>
      <c r="M287" s="135"/>
    </row>
    <row r="288" spans="1:13">
      <c r="A288" s="135"/>
      <c r="B288" s="148"/>
      <c r="C288" s="147"/>
      <c r="D288" s="140">
        <v>41.2</v>
      </c>
      <c r="E288" s="140" t="s">
        <v>136</v>
      </c>
      <c r="F288" s="140" t="s">
        <v>7</v>
      </c>
      <c r="G288" s="148" t="s">
        <v>7</v>
      </c>
      <c r="H288" s="140" t="s">
        <v>7</v>
      </c>
      <c r="I288" s="140" t="s">
        <v>7</v>
      </c>
      <c r="J288" s="140" t="s">
        <v>7</v>
      </c>
      <c r="K288" s="135">
        <v>20</v>
      </c>
      <c r="L288" s="150">
        <f>K288*A279</f>
        <v>4</v>
      </c>
      <c r="M288" s="135">
        <f>K288-L288</f>
        <v>16</v>
      </c>
    </row>
    <row r="289" spans="1:13">
      <c r="A289" s="135"/>
      <c r="B289" s="148"/>
      <c r="C289" s="147"/>
      <c r="D289" s="140">
        <v>42.2</v>
      </c>
      <c r="E289" s="140" t="s">
        <v>137</v>
      </c>
      <c r="F289" s="140" t="s">
        <v>7</v>
      </c>
      <c r="G289" s="148" t="s">
        <v>7</v>
      </c>
      <c r="H289" s="140" t="s">
        <v>7</v>
      </c>
      <c r="I289" s="140" t="s">
        <v>7</v>
      </c>
      <c r="J289" s="140" t="s">
        <v>7</v>
      </c>
      <c r="K289" s="135"/>
      <c r="L289" s="150">
        <f>COUNTIF(F288:J291,"Father")</f>
        <v>4</v>
      </c>
      <c r="M289" s="135">
        <f>COUNTIF(F288:J291,"Mother")</f>
        <v>16</v>
      </c>
    </row>
    <row r="290" spans="1:13">
      <c r="A290" s="135"/>
      <c r="B290" s="148"/>
      <c r="C290" s="147"/>
      <c r="D290" s="140">
        <v>43.2</v>
      </c>
      <c r="E290" s="140" t="s">
        <v>138</v>
      </c>
      <c r="F290" s="140" t="s">
        <v>7</v>
      </c>
      <c r="G290" s="148" t="s">
        <v>7</v>
      </c>
      <c r="H290" s="140" t="s">
        <v>7</v>
      </c>
      <c r="I290" s="140" t="s">
        <v>7</v>
      </c>
      <c r="J290" s="140" t="s">
        <v>7</v>
      </c>
      <c r="K290" s="135"/>
      <c r="L290" s="150"/>
      <c r="M290" s="135"/>
    </row>
    <row r="291" spans="1:13">
      <c r="A291" s="135"/>
      <c r="B291" s="148"/>
      <c r="C291" s="147"/>
      <c r="D291" s="140">
        <v>44.2</v>
      </c>
      <c r="E291" s="140" t="s">
        <v>139</v>
      </c>
      <c r="F291" s="140" t="s">
        <v>6</v>
      </c>
      <c r="G291" s="140" t="s">
        <v>6</v>
      </c>
      <c r="H291" s="148" t="s">
        <v>6</v>
      </c>
      <c r="I291" s="140" t="s">
        <v>6</v>
      </c>
      <c r="J291" s="140" t="s">
        <v>7</v>
      </c>
      <c r="K291" s="135"/>
      <c r="L291" s="150"/>
      <c r="M291" s="135"/>
    </row>
    <row r="292" spans="1:13">
      <c r="A292" s="135"/>
      <c r="B292" s="148"/>
      <c r="C292" s="147"/>
      <c r="D292" s="140"/>
      <c r="E292" s="140"/>
      <c r="F292" s="140"/>
      <c r="G292" s="148"/>
      <c r="H292" s="148"/>
      <c r="I292" s="148"/>
      <c r="J292" s="148"/>
      <c r="K292" s="135"/>
      <c r="L292" s="150"/>
      <c r="M292" s="135"/>
    </row>
    <row r="293" spans="1:13">
      <c r="A293" s="135"/>
      <c r="B293" s="148"/>
      <c r="C293" s="147"/>
      <c r="D293" s="140">
        <v>51.2</v>
      </c>
      <c r="E293" s="140" t="s">
        <v>136</v>
      </c>
      <c r="F293" s="140" t="s">
        <v>7</v>
      </c>
      <c r="G293" s="140" t="s">
        <v>7</v>
      </c>
      <c r="H293" s="140" t="s">
        <v>7</v>
      </c>
      <c r="I293" s="140" t="s">
        <v>7</v>
      </c>
      <c r="J293" s="140" t="s">
        <v>7</v>
      </c>
      <c r="K293" s="135">
        <v>25</v>
      </c>
      <c r="L293" s="150">
        <f>K293*A279</f>
        <v>5</v>
      </c>
      <c r="M293" s="135">
        <f>K293-L293</f>
        <v>20</v>
      </c>
    </row>
    <row r="294" spans="1:13">
      <c r="A294" s="135"/>
      <c r="B294" s="148"/>
      <c r="C294" s="147"/>
      <c r="D294" s="140">
        <v>52.2</v>
      </c>
      <c r="E294" s="140" t="s">
        <v>137</v>
      </c>
      <c r="F294" s="140" t="s">
        <v>7</v>
      </c>
      <c r="G294" s="140" t="s">
        <v>7</v>
      </c>
      <c r="H294" s="140" t="s">
        <v>7</v>
      </c>
      <c r="I294" s="140" t="s">
        <v>7</v>
      </c>
      <c r="J294" s="140" t="s">
        <v>7</v>
      </c>
      <c r="K294" s="135"/>
      <c r="L294" s="150">
        <f>COUNTIF(F293:J297,"Father")</f>
        <v>5</v>
      </c>
      <c r="M294" s="135">
        <f>COUNTIF(F293:J297,"Mother")</f>
        <v>20</v>
      </c>
    </row>
    <row r="295" spans="1:13">
      <c r="A295" s="135"/>
      <c r="B295" s="148"/>
      <c r="C295" s="147"/>
      <c r="D295" s="140">
        <v>53.2</v>
      </c>
      <c r="E295" s="140" t="s">
        <v>138</v>
      </c>
      <c r="F295" s="140" t="s">
        <v>6</v>
      </c>
      <c r="G295" s="140" t="s">
        <v>6</v>
      </c>
      <c r="H295" s="140" t="s">
        <v>6</v>
      </c>
      <c r="I295" s="140" t="s">
        <v>6</v>
      </c>
      <c r="J295" s="140" t="s">
        <v>6</v>
      </c>
      <c r="K295" s="135"/>
      <c r="L295" s="150"/>
      <c r="M295" s="135"/>
    </row>
    <row r="296" spans="1:13">
      <c r="A296" s="135"/>
      <c r="B296" s="148"/>
      <c r="C296" s="147"/>
      <c r="D296" s="140">
        <v>54.2</v>
      </c>
      <c r="E296" s="140" t="s">
        <v>139</v>
      </c>
      <c r="F296" s="140" t="s">
        <v>7</v>
      </c>
      <c r="G296" s="140" t="s">
        <v>7</v>
      </c>
      <c r="H296" s="140" t="s">
        <v>7</v>
      </c>
      <c r="I296" s="140" t="s">
        <v>7</v>
      </c>
      <c r="J296" s="140" t="s">
        <v>7</v>
      </c>
      <c r="K296" s="135"/>
      <c r="L296" s="150"/>
      <c r="M296" s="135"/>
    </row>
    <row r="297" spans="1:13">
      <c r="A297" s="135"/>
      <c r="B297" s="148"/>
      <c r="C297" s="147"/>
      <c r="D297" s="140">
        <v>55.2</v>
      </c>
      <c r="E297" s="140" t="s">
        <v>140</v>
      </c>
      <c r="F297" s="140" t="s">
        <v>7</v>
      </c>
      <c r="G297" s="140" t="s">
        <v>7</v>
      </c>
      <c r="H297" s="140" t="s">
        <v>7</v>
      </c>
      <c r="I297" s="140" t="s">
        <v>7</v>
      </c>
      <c r="J297" s="140" t="s">
        <v>7</v>
      </c>
      <c r="K297" s="135"/>
      <c r="L297" s="150"/>
      <c r="M297" s="135"/>
    </row>
    <row r="298" spans="1:13">
      <c r="A298" s="135"/>
      <c r="B298" s="148"/>
      <c r="C298" s="147"/>
      <c r="D298" s="140"/>
      <c r="E298" s="140"/>
      <c r="F298" s="140"/>
      <c r="G298" s="148"/>
      <c r="H298" s="148"/>
      <c r="I298" s="148"/>
      <c r="J298" s="148"/>
      <c r="K298" s="135"/>
      <c r="L298" s="150"/>
      <c r="M298" s="135"/>
    </row>
    <row r="299" spans="1:13">
      <c r="A299" s="135"/>
      <c r="B299" s="148"/>
      <c r="C299" s="147"/>
      <c r="D299" s="140">
        <v>61.2</v>
      </c>
      <c r="E299" s="140" t="s">
        <v>136</v>
      </c>
      <c r="F299" s="140" t="s">
        <v>7</v>
      </c>
      <c r="G299" s="140" t="s">
        <v>7</v>
      </c>
      <c r="H299" s="140" t="s">
        <v>7</v>
      </c>
      <c r="I299" s="140" t="s">
        <v>7</v>
      </c>
      <c r="J299" s="140" t="s">
        <v>7</v>
      </c>
      <c r="K299" s="135">
        <v>30</v>
      </c>
      <c r="L299" s="150">
        <f>K299*A279</f>
        <v>6</v>
      </c>
      <c r="M299" s="135">
        <f>K299-L299</f>
        <v>24</v>
      </c>
    </row>
    <row r="300" spans="1:13">
      <c r="A300" s="135"/>
      <c r="B300" s="148"/>
      <c r="C300" s="147"/>
      <c r="D300" s="140">
        <v>62.2</v>
      </c>
      <c r="E300" s="140" t="s">
        <v>137</v>
      </c>
      <c r="F300" s="140" t="s">
        <v>7</v>
      </c>
      <c r="G300" s="140" t="s">
        <v>7</v>
      </c>
      <c r="H300" s="775" t="s">
        <v>7</v>
      </c>
      <c r="I300" s="140" t="s">
        <v>7</v>
      </c>
      <c r="J300" s="140" t="s">
        <v>7</v>
      </c>
      <c r="K300" s="135"/>
      <c r="L300" s="150">
        <f>COUNTIF(F299:J304,"Father")</f>
        <v>6</v>
      </c>
      <c r="M300" s="135">
        <f>COUNTIF(F299:J304,"Mother")</f>
        <v>24</v>
      </c>
    </row>
    <row r="301" spans="1:13">
      <c r="A301" s="135"/>
      <c r="B301" s="148"/>
      <c r="C301" s="147"/>
      <c r="D301" s="140">
        <v>63.2</v>
      </c>
      <c r="E301" s="140" t="s">
        <v>138</v>
      </c>
      <c r="F301" s="140" t="s">
        <v>6</v>
      </c>
      <c r="G301" s="140" t="s">
        <v>6</v>
      </c>
      <c r="H301" s="140" t="s">
        <v>6</v>
      </c>
      <c r="I301" s="140" t="s">
        <v>6</v>
      </c>
      <c r="J301" s="140" t="s">
        <v>6</v>
      </c>
      <c r="K301" s="135"/>
      <c r="L301" s="150"/>
      <c r="M301" s="135"/>
    </row>
    <row r="302" spans="1:13">
      <c r="A302" s="135"/>
      <c r="B302" s="148"/>
      <c r="C302" s="147"/>
      <c r="D302" s="140">
        <v>64.2</v>
      </c>
      <c r="E302" s="140" t="s">
        <v>139</v>
      </c>
      <c r="F302" s="140" t="s">
        <v>7</v>
      </c>
      <c r="G302" s="140" t="s">
        <v>7</v>
      </c>
      <c r="H302" s="140" t="s">
        <v>7</v>
      </c>
      <c r="I302" s="140" t="s">
        <v>7</v>
      </c>
      <c r="J302" s="140" t="s">
        <v>7</v>
      </c>
      <c r="K302" s="135"/>
      <c r="L302" s="150"/>
      <c r="M302" s="135"/>
    </row>
    <row r="303" spans="1:13">
      <c r="A303" s="135"/>
      <c r="B303" s="148"/>
      <c r="C303" s="147"/>
      <c r="D303" s="140">
        <v>65.2</v>
      </c>
      <c r="E303" s="140" t="s">
        <v>140</v>
      </c>
      <c r="F303" s="140" t="s">
        <v>7</v>
      </c>
      <c r="G303" s="140" t="s">
        <v>7</v>
      </c>
      <c r="H303" s="775" t="s">
        <v>7</v>
      </c>
      <c r="I303" s="140" t="s">
        <v>7</v>
      </c>
      <c r="J303" s="140" t="s">
        <v>7</v>
      </c>
      <c r="K303" s="135"/>
      <c r="L303" s="150"/>
      <c r="M303" s="135"/>
    </row>
    <row r="304" spans="1:13">
      <c r="A304" s="173"/>
      <c r="B304" s="152"/>
      <c r="C304" s="124"/>
      <c r="D304" s="153">
        <v>66.2</v>
      </c>
      <c r="E304" s="153" t="s">
        <v>141</v>
      </c>
      <c r="F304" s="775" t="s">
        <v>7</v>
      </c>
      <c r="G304" s="775" t="s">
        <v>7</v>
      </c>
      <c r="H304" s="775" t="s">
        <v>7</v>
      </c>
      <c r="I304" s="775" t="s">
        <v>7</v>
      </c>
      <c r="J304" s="140" t="s">
        <v>6</v>
      </c>
      <c r="K304" s="151"/>
      <c r="L304" s="154"/>
      <c r="M304" s="151"/>
    </row>
    <row r="305" spans="1:13">
      <c r="A305" s="135"/>
      <c r="B305" s="148"/>
      <c r="C305" s="147"/>
      <c r="D305" s="140"/>
      <c r="E305" s="140"/>
      <c r="F305" s="160"/>
      <c r="G305" s="129"/>
      <c r="H305" s="129"/>
      <c r="I305" s="129"/>
      <c r="J305" s="129"/>
      <c r="K305" s="135"/>
      <c r="L305" s="150"/>
      <c r="M305" s="135"/>
    </row>
    <row r="306" spans="1:13">
      <c r="A306" s="157">
        <v>0</v>
      </c>
      <c r="B306" s="148" t="s">
        <v>151</v>
      </c>
      <c r="C306" s="158" t="s">
        <v>152</v>
      </c>
      <c r="D306" s="140">
        <v>11</v>
      </c>
      <c r="E306" s="140" t="s">
        <v>136</v>
      </c>
      <c r="F306" s="140" t="s">
        <v>7</v>
      </c>
      <c r="G306" s="140" t="s">
        <v>7</v>
      </c>
      <c r="H306" s="140" t="s">
        <v>7</v>
      </c>
      <c r="I306" s="140" t="s">
        <v>7</v>
      </c>
      <c r="J306" s="140" t="s">
        <v>7</v>
      </c>
      <c r="K306" s="133">
        <v>5</v>
      </c>
      <c r="L306" s="134">
        <f>K306*A306</f>
        <v>0</v>
      </c>
      <c r="M306" s="135">
        <f>K306-L306</f>
        <v>5</v>
      </c>
    </row>
    <row r="307" spans="1:13">
      <c r="A307" s="135"/>
      <c r="B307" s="148"/>
      <c r="C307" s="147"/>
      <c r="D307" s="140"/>
      <c r="E307" s="140"/>
      <c r="F307" s="139"/>
      <c r="G307" s="139"/>
      <c r="H307" s="139"/>
      <c r="I307" s="139"/>
      <c r="J307" s="139"/>
      <c r="K307" s="133"/>
      <c r="L307" s="134"/>
      <c r="M307" s="135"/>
    </row>
    <row r="308" spans="1:13">
      <c r="A308" s="135"/>
      <c r="B308" s="148"/>
      <c r="C308" s="147"/>
      <c r="D308" s="140">
        <v>21</v>
      </c>
      <c r="E308" s="140" t="s">
        <v>136</v>
      </c>
      <c r="F308" s="140" t="s">
        <v>7</v>
      </c>
      <c r="G308" s="140" t="s">
        <v>7</v>
      </c>
      <c r="H308" s="140" t="s">
        <v>7</v>
      </c>
      <c r="I308" s="140" t="s">
        <v>7</v>
      </c>
      <c r="J308" s="140" t="s">
        <v>7</v>
      </c>
      <c r="K308" s="133">
        <v>10</v>
      </c>
      <c r="L308" s="134">
        <f>K308*A306</f>
        <v>0</v>
      </c>
      <c r="M308" s="135">
        <f>K308-L308</f>
        <v>10</v>
      </c>
    </row>
    <row r="309" spans="1:13">
      <c r="A309" s="135"/>
      <c r="B309" s="148"/>
      <c r="C309" s="147"/>
      <c r="D309" s="140">
        <v>22</v>
      </c>
      <c r="E309" s="140" t="s">
        <v>137</v>
      </c>
      <c r="F309" s="140" t="s">
        <v>7</v>
      </c>
      <c r="G309" s="140" t="s">
        <v>7</v>
      </c>
      <c r="H309" s="140" t="s">
        <v>7</v>
      </c>
      <c r="I309" s="140" t="s">
        <v>7</v>
      </c>
      <c r="J309" s="140" t="s">
        <v>7</v>
      </c>
      <c r="K309" s="133"/>
      <c r="L309" s="134">
        <f>COUNTIF(F308:J309,"Father")</f>
        <v>0</v>
      </c>
      <c r="M309" s="135">
        <f>COUNTIF(F308:J309,"Mother")</f>
        <v>10</v>
      </c>
    </row>
    <row r="310" spans="1:13">
      <c r="A310" s="135"/>
      <c r="B310" s="148"/>
      <c r="C310" s="147"/>
      <c r="D310" s="140"/>
      <c r="E310" s="140"/>
      <c r="F310" s="139"/>
      <c r="G310" s="139"/>
      <c r="H310" s="139"/>
      <c r="I310" s="139"/>
      <c r="J310" s="139"/>
      <c r="K310" s="133"/>
      <c r="L310" s="134"/>
      <c r="M310" s="135"/>
    </row>
    <row r="311" spans="1:13">
      <c r="A311" s="135"/>
      <c r="B311" s="148"/>
      <c r="C311" s="147"/>
      <c r="D311" s="140">
        <v>31</v>
      </c>
      <c r="E311" s="140" t="s">
        <v>136</v>
      </c>
      <c r="F311" s="140" t="s">
        <v>7</v>
      </c>
      <c r="G311" s="140" t="s">
        <v>7</v>
      </c>
      <c r="H311" s="140" t="s">
        <v>7</v>
      </c>
      <c r="I311" s="140" t="s">
        <v>7</v>
      </c>
      <c r="J311" s="140" t="s">
        <v>7</v>
      </c>
      <c r="K311" s="133">
        <v>15</v>
      </c>
      <c r="L311" s="134">
        <f>K311*A306</f>
        <v>0</v>
      </c>
      <c r="M311" s="135">
        <f>K311-L311</f>
        <v>15</v>
      </c>
    </row>
    <row r="312" spans="1:13">
      <c r="A312" s="135"/>
      <c r="B312" s="148"/>
      <c r="C312" s="147"/>
      <c r="D312" s="140">
        <v>32</v>
      </c>
      <c r="E312" s="140" t="s">
        <v>137</v>
      </c>
      <c r="F312" s="140" t="s">
        <v>7</v>
      </c>
      <c r="G312" s="140" t="s">
        <v>7</v>
      </c>
      <c r="H312" s="140" t="s">
        <v>7</v>
      </c>
      <c r="I312" s="140" t="s">
        <v>7</v>
      </c>
      <c r="J312" s="140" t="s">
        <v>7</v>
      </c>
      <c r="K312" s="133"/>
      <c r="L312" s="134">
        <f>COUNTIF(F311:J313,"Father")</f>
        <v>0</v>
      </c>
      <c r="M312" s="135">
        <f>COUNTIF(F311:J313,"Mother")</f>
        <v>15</v>
      </c>
    </row>
    <row r="313" spans="1:13">
      <c r="A313" s="135"/>
      <c r="B313" s="148"/>
      <c r="C313" s="147"/>
      <c r="D313" s="140">
        <v>33</v>
      </c>
      <c r="E313" s="140" t="s">
        <v>138</v>
      </c>
      <c r="F313" s="140" t="s">
        <v>7</v>
      </c>
      <c r="G313" s="140" t="s">
        <v>7</v>
      </c>
      <c r="H313" s="140" t="s">
        <v>7</v>
      </c>
      <c r="I313" s="140" t="s">
        <v>7</v>
      </c>
      <c r="J313" s="140" t="s">
        <v>7</v>
      </c>
      <c r="K313" s="133"/>
      <c r="L313" s="134"/>
      <c r="M313" s="135"/>
    </row>
    <row r="314" spans="1:13">
      <c r="A314" s="135"/>
      <c r="B314" s="148"/>
      <c r="C314" s="147"/>
      <c r="D314" s="140"/>
      <c r="E314" s="140"/>
      <c r="F314" s="139"/>
      <c r="G314" s="139"/>
      <c r="H314" s="139"/>
      <c r="I314" s="139"/>
      <c r="J314" s="139"/>
      <c r="K314" s="133"/>
      <c r="L314" s="134"/>
      <c r="M314" s="135"/>
    </row>
    <row r="315" spans="1:13">
      <c r="A315" s="135"/>
      <c r="B315" s="148"/>
      <c r="C315" s="147"/>
      <c r="D315" s="140">
        <v>41</v>
      </c>
      <c r="E315" s="140" t="s">
        <v>136</v>
      </c>
      <c r="F315" s="140" t="s">
        <v>7</v>
      </c>
      <c r="G315" s="140" t="s">
        <v>7</v>
      </c>
      <c r="H315" s="140" t="s">
        <v>7</v>
      </c>
      <c r="I315" s="140" t="s">
        <v>7</v>
      </c>
      <c r="J315" s="140" t="s">
        <v>7</v>
      </c>
      <c r="K315" s="133">
        <v>20</v>
      </c>
      <c r="L315" s="134">
        <f>K315*A306</f>
        <v>0</v>
      </c>
      <c r="M315" s="135">
        <f>K315-L315</f>
        <v>20</v>
      </c>
    </row>
    <row r="316" spans="1:13">
      <c r="A316" s="135"/>
      <c r="B316" s="148"/>
      <c r="C316" s="147"/>
      <c r="D316" s="140">
        <v>42</v>
      </c>
      <c r="E316" s="140" t="s">
        <v>137</v>
      </c>
      <c r="F316" s="140" t="s">
        <v>7</v>
      </c>
      <c r="G316" s="140" t="s">
        <v>7</v>
      </c>
      <c r="H316" s="140" t="s">
        <v>7</v>
      </c>
      <c r="I316" s="140" t="s">
        <v>7</v>
      </c>
      <c r="J316" s="140" t="s">
        <v>7</v>
      </c>
      <c r="K316" s="133"/>
      <c r="L316" s="134">
        <f>COUNTIF(F315:J318,"Father")</f>
        <v>0</v>
      </c>
      <c r="M316" s="135">
        <f>COUNTIF(F315:J318,"Mother")</f>
        <v>20</v>
      </c>
    </row>
    <row r="317" spans="1:13">
      <c r="A317" s="135"/>
      <c r="B317" s="148"/>
      <c r="C317" s="147"/>
      <c r="D317" s="140">
        <v>43</v>
      </c>
      <c r="E317" s="140" t="s">
        <v>138</v>
      </c>
      <c r="F317" s="140" t="s">
        <v>7</v>
      </c>
      <c r="G317" s="140" t="s">
        <v>7</v>
      </c>
      <c r="H317" s="140" t="s">
        <v>7</v>
      </c>
      <c r="I317" s="140" t="s">
        <v>7</v>
      </c>
      <c r="J317" s="140" t="s">
        <v>7</v>
      </c>
      <c r="K317" s="133"/>
      <c r="L317" s="134"/>
      <c r="M317" s="135"/>
    </row>
    <row r="318" spans="1:13">
      <c r="A318" s="135"/>
      <c r="B318" s="148"/>
      <c r="C318" s="147"/>
      <c r="D318" s="140">
        <v>44</v>
      </c>
      <c r="E318" s="140" t="s">
        <v>139</v>
      </c>
      <c r="F318" s="140" t="s">
        <v>7</v>
      </c>
      <c r="G318" s="140" t="s">
        <v>7</v>
      </c>
      <c r="H318" s="140" t="s">
        <v>7</v>
      </c>
      <c r="I318" s="140" t="s">
        <v>7</v>
      </c>
      <c r="J318" s="140" t="s">
        <v>7</v>
      </c>
      <c r="K318" s="133"/>
      <c r="L318" s="134"/>
      <c r="M318" s="135"/>
    </row>
    <row r="319" spans="1:13">
      <c r="A319" s="135"/>
      <c r="B319" s="148"/>
      <c r="C319" s="147"/>
      <c r="D319" s="140"/>
      <c r="E319" s="140"/>
      <c r="F319" s="139"/>
      <c r="G319" s="139"/>
      <c r="H319" s="139"/>
      <c r="I319" s="139"/>
      <c r="J319" s="139"/>
      <c r="K319" s="133"/>
      <c r="L319" s="134"/>
      <c r="M319" s="135"/>
    </row>
    <row r="320" spans="1:13">
      <c r="A320" s="135"/>
      <c r="B320" s="148"/>
      <c r="C320" s="147"/>
      <c r="D320" s="140">
        <v>51</v>
      </c>
      <c r="E320" s="140" t="s">
        <v>136</v>
      </c>
      <c r="F320" s="140" t="s">
        <v>7</v>
      </c>
      <c r="G320" s="140" t="s">
        <v>7</v>
      </c>
      <c r="H320" s="140" t="s">
        <v>7</v>
      </c>
      <c r="I320" s="140" t="s">
        <v>7</v>
      </c>
      <c r="J320" s="140" t="s">
        <v>7</v>
      </c>
      <c r="K320" s="133">
        <v>25</v>
      </c>
      <c r="L320" s="134">
        <f>K320*A306</f>
        <v>0</v>
      </c>
      <c r="M320" s="135">
        <f>K320-L320</f>
        <v>25</v>
      </c>
    </row>
    <row r="321" spans="1:13">
      <c r="A321" s="135"/>
      <c r="B321" s="148"/>
      <c r="C321" s="147"/>
      <c r="D321" s="140">
        <v>52</v>
      </c>
      <c r="E321" s="140" t="s">
        <v>137</v>
      </c>
      <c r="F321" s="140" t="s">
        <v>7</v>
      </c>
      <c r="G321" s="140" t="s">
        <v>7</v>
      </c>
      <c r="H321" s="140" t="s">
        <v>7</v>
      </c>
      <c r="I321" s="140" t="s">
        <v>7</v>
      </c>
      <c r="J321" s="140" t="s">
        <v>7</v>
      </c>
      <c r="K321" s="133"/>
      <c r="L321" s="134">
        <f>COUNTIF(F320:J324,"Father")</f>
        <v>0</v>
      </c>
      <c r="M321" s="135">
        <f>COUNTIF(F320:J324,"Mother")</f>
        <v>25</v>
      </c>
    </row>
    <row r="322" spans="1:13">
      <c r="A322" s="135"/>
      <c r="B322" s="148"/>
      <c r="C322" s="147"/>
      <c r="D322" s="140">
        <v>53</v>
      </c>
      <c r="E322" s="140" t="s">
        <v>138</v>
      </c>
      <c r="F322" s="140" t="s">
        <v>7</v>
      </c>
      <c r="G322" s="140" t="s">
        <v>7</v>
      </c>
      <c r="H322" s="140" t="s">
        <v>7</v>
      </c>
      <c r="I322" s="140" t="s">
        <v>7</v>
      </c>
      <c r="J322" s="140" t="s">
        <v>7</v>
      </c>
      <c r="K322" s="133"/>
      <c r="L322" s="134"/>
      <c r="M322" s="135"/>
    </row>
    <row r="323" spans="1:13">
      <c r="A323" s="135"/>
      <c r="B323" s="148"/>
      <c r="C323" s="147"/>
      <c r="D323" s="140">
        <v>54</v>
      </c>
      <c r="E323" s="140" t="s">
        <v>139</v>
      </c>
      <c r="F323" s="140" t="s">
        <v>7</v>
      </c>
      <c r="G323" s="140" t="s">
        <v>7</v>
      </c>
      <c r="H323" s="140" t="s">
        <v>7</v>
      </c>
      <c r="I323" s="140" t="s">
        <v>7</v>
      </c>
      <c r="J323" s="140" t="s">
        <v>7</v>
      </c>
      <c r="K323" s="133"/>
      <c r="L323" s="134"/>
      <c r="M323" s="135"/>
    </row>
    <row r="324" spans="1:13">
      <c r="A324" s="135"/>
      <c r="B324" s="148"/>
      <c r="C324" s="147"/>
      <c r="D324" s="140">
        <v>55</v>
      </c>
      <c r="E324" s="140" t="s">
        <v>140</v>
      </c>
      <c r="F324" s="140" t="s">
        <v>7</v>
      </c>
      <c r="G324" s="140" t="s">
        <v>7</v>
      </c>
      <c r="H324" s="140" t="s">
        <v>7</v>
      </c>
      <c r="I324" s="140" t="s">
        <v>7</v>
      </c>
      <c r="J324" s="140" t="s">
        <v>7</v>
      </c>
      <c r="K324" s="133"/>
      <c r="L324" s="134"/>
      <c r="M324" s="135"/>
    </row>
    <row r="325" spans="1:13">
      <c r="A325" s="135"/>
      <c r="B325" s="148"/>
      <c r="C325" s="147"/>
      <c r="D325" s="140"/>
      <c r="E325" s="140"/>
      <c r="F325" s="139"/>
      <c r="G325" s="139"/>
      <c r="H325" s="139"/>
      <c r="I325" s="139"/>
      <c r="J325" s="139"/>
      <c r="K325" s="133"/>
      <c r="L325" s="134"/>
      <c r="M325" s="135"/>
    </row>
    <row r="326" spans="1:13">
      <c r="A326" s="135"/>
      <c r="B326" s="148"/>
      <c r="C326" s="147"/>
      <c r="D326" s="140">
        <v>61</v>
      </c>
      <c r="E326" s="140" t="s">
        <v>136</v>
      </c>
      <c r="F326" s="140" t="s">
        <v>7</v>
      </c>
      <c r="G326" s="140" t="s">
        <v>7</v>
      </c>
      <c r="H326" s="140" t="s">
        <v>7</v>
      </c>
      <c r="I326" s="140" t="s">
        <v>7</v>
      </c>
      <c r="J326" s="140" t="s">
        <v>7</v>
      </c>
      <c r="K326" s="133">
        <v>30</v>
      </c>
      <c r="L326" s="134">
        <f>K326*A306</f>
        <v>0</v>
      </c>
      <c r="M326" s="135">
        <f>K326-L326</f>
        <v>30</v>
      </c>
    </row>
    <row r="327" spans="1:13">
      <c r="A327" s="135"/>
      <c r="B327" s="148"/>
      <c r="C327" s="147"/>
      <c r="D327" s="140">
        <v>62</v>
      </c>
      <c r="E327" s="140" t="s">
        <v>137</v>
      </c>
      <c r="F327" s="140" t="s">
        <v>7</v>
      </c>
      <c r="G327" s="140" t="s">
        <v>7</v>
      </c>
      <c r="H327" s="140" t="s">
        <v>7</v>
      </c>
      <c r="I327" s="140" t="s">
        <v>7</v>
      </c>
      <c r="J327" s="140" t="s">
        <v>7</v>
      </c>
      <c r="K327" s="133"/>
      <c r="L327" s="134">
        <f>COUNTIF(F326:J331,"Father")</f>
        <v>0</v>
      </c>
      <c r="M327" s="135">
        <f>COUNTIF(F326:J331,"Mother")</f>
        <v>30</v>
      </c>
    </row>
    <row r="328" spans="1:13">
      <c r="A328" s="135"/>
      <c r="B328" s="148"/>
      <c r="C328" s="147"/>
      <c r="D328" s="140">
        <v>63</v>
      </c>
      <c r="E328" s="140" t="s">
        <v>138</v>
      </c>
      <c r="F328" s="140" t="s">
        <v>7</v>
      </c>
      <c r="G328" s="140" t="s">
        <v>7</v>
      </c>
      <c r="H328" s="140" t="s">
        <v>7</v>
      </c>
      <c r="I328" s="140" t="s">
        <v>7</v>
      </c>
      <c r="J328" s="140" t="s">
        <v>7</v>
      </c>
      <c r="K328" s="133"/>
      <c r="L328" s="134"/>
      <c r="M328" s="135"/>
    </row>
    <row r="329" spans="1:13">
      <c r="A329" s="135"/>
      <c r="B329" s="148"/>
      <c r="C329" s="147"/>
      <c r="D329" s="140">
        <v>64</v>
      </c>
      <c r="E329" s="140" t="s">
        <v>139</v>
      </c>
      <c r="F329" s="140" t="s">
        <v>7</v>
      </c>
      <c r="G329" s="140" t="s">
        <v>7</v>
      </c>
      <c r="H329" s="140" t="s">
        <v>7</v>
      </c>
      <c r="I329" s="140" t="s">
        <v>7</v>
      </c>
      <c r="J329" s="140" t="s">
        <v>7</v>
      </c>
      <c r="K329" s="133"/>
      <c r="L329" s="134"/>
      <c r="M329" s="135"/>
    </row>
    <row r="330" spans="1:13">
      <c r="A330" s="135"/>
      <c r="B330" s="148"/>
      <c r="C330" s="147"/>
      <c r="D330" s="140">
        <v>65</v>
      </c>
      <c r="E330" s="140" t="s">
        <v>140</v>
      </c>
      <c r="F330" s="140" t="s">
        <v>7</v>
      </c>
      <c r="G330" s="140" t="s">
        <v>7</v>
      </c>
      <c r="H330" s="140" t="s">
        <v>7</v>
      </c>
      <c r="I330" s="140" t="s">
        <v>7</v>
      </c>
      <c r="J330" s="140" t="s">
        <v>7</v>
      </c>
      <c r="K330" s="133"/>
      <c r="L330" s="134"/>
      <c r="M330" s="135"/>
    </row>
    <row r="331" spans="1:13">
      <c r="A331" s="173"/>
      <c r="B331" s="152"/>
      <c r="C331" s="124"/>
      <c r="D331" s="153">
        <v>66</v>
      </c>
      <c r="E331" s="153" t="s">
        <v>141</v>
      </c>
      <c r="F331" s="153" t="s">
        <v>7</v>
      </c>
      <c r="G331" s="153" t="s">
        <v>7</v>
      </c>
      <c r="H331" s="153" t="s">
        <v>7</v>
      </c>
      <c r="I331" s="153" t="s">
        <v>7</v>
      </c>
      <c r="J331" s="153" t="s">
        <v>7</v>
      </c>
      <c r="K331" s="122"/>
      <c r="L331" s="127"/>
      <c r="M331" s="151"/>
    </row>
    <row r="332" spans="1:13">
      <c r="A332" s="161"/>
      <c r="B332" s="161"/>
      <c r="C332" s="161"/>
      <c r="D332" s="161"/>
      <c r="E332" s="135"/>
      <c r="F332" s="161"/>
      <c r="G332" s="135"/>
      <c r="H332" s="135"/>
      <c r="I332" s="161"/>
      <c r="J332" s="161"/>
      <c r="K332" s="161"/>
      <c r="L332" s="161"/>
      <c r="M332" s="161"/>
    </row>
    <row r="333" spans="1:13">
      <c r="A333" s="161"/>
      <c r="B333" s="161"/>
      <c r="C333" s="161"/>
      <c r="D333" s="161"/>
      <c r="E333" s="135"/>
      <c r="F333" s="161"/>
      <c r="G333" s="135"/>
      <c r="H333" s="135"/>
      <c r="I333" s="161"/>
      <c r="J333" s="161"/>
      <c r="K333" s="161"/>
      <c r="L333" s="161"/>
      <c r="M333" s="161"/>
    </row>
    <row r="334" spans="1:13">
      <c r="A334" s="161"/>
      <c r="B334" s="161"/>
      <c r="C334" s="161"/>
      <c r="D334" s="161"/>
      <c r="E334" s="135"/>
      <c r="F334" s="161"/>
      <c r="G334" s="135"/>
      <c r="H334" s="135"/>
      <c r="I334" s="161"/>
      <c r="J334" s="161"/>
      <c r="K334" s="161"/>
      <c r="L334" s="161"/>
      <c r="M334" s="161"/>
    </row>
    <row r="335" spans="1:13">
      <c r="A335" s="161"/>
      <c r="B335" s="161"/>
      <c r="C335" s="161"/>
      <c r="D335" s="161"/>
      <c r="E335" s="135"/>
      <c r="F335" s="161"/>
      <c r="G335" s="135"/>
      <c r="H335" s="135"/>
      <c r="I335" s="161"/>
      <c r="J335" s="161"/>
      <c r="K335" s="161"/>
      <c r="L335" s="161"/>
      <c r="M335" s="161"/>
    </row>
    <row r="336" spans="1:13">
      <c r="A336" s="161"/>
      <c r="B336" s="161"/>
      <c r="C336" s="161"/>
      <c r="D336" s="161"/>
      <c r="E336" s="135"/>
      <c r="F336" s="161"/>
      <c r="G336" s="135"/>
      <c r="H336" s="135"/>
      <c r="I336" s="161"/>
      <c r="J336" s="161"/>
      <c r="K336" s="161"/>
      <c r="L336" s="161"/>
      <c r="M336" s="161"/>
    </row>
    <row r="337" spans="1:13">
      <c r="A337" s="161"/>
      <c r="B337" s="161"/>
      <c r="C337" s="161"/>
      <c r="D337" s="161"/>
      <c r="E337" s="135"/>
      <c r="F337" s="161"/>
      <c r="G337" s="135"/>
      <c r="H337" s="135"/>
      <c r="I337" s="161"/>
      <c r="J337" s="161"/>
      <c r="K337" s="161"/>
      <c r="L337" s="161"/>
      <c r="M337" s="161"/>
    </row>
    <row r="338" spans="1:13">
      <c r="A338" s="161"/>
      <c r="B338" s="161"/>
      <c r="C338" s="161"/>
      <c r="D338" s="161"/>
      <c r="E338" s="135"/>
      <c r="F338" s="161"/>
      <c r="G338" s="135"/>
      <c r="H338" s="135"/>
      <c r="I338" s="161"/>
      <c r="J338" s="161"/>
      <c r="K338" s="161"/>
      <c r="L338" s="161"/>
      <c r="M338" s="161"/>
    </row>
    <row r="339" spans="1:13">
      <c r="A339" s="161"/>
      <c r="B339" s="161"/>
      <c r="C339" s="161"/>
      <c r="D339" s="161"/>
      <c r="E339" s="135"/>
      <c r="F339" s="161"/>
      <c r="G339" s="135"/>
      <c r="H339" s="135"/>
      <c r="I339" s="161"/>
      <c r="J339" s="161"/>
      <c r="K339" s="161"/>
      <c r="L339" s="161"/>
      <c r="M339" s="161"/>
    </row>
    <row r="340" spans="1:13">
      <c r="A340" s="161"/>
      <c r="B340" s="161"/>
      <c r="C340" s="161"/>
      <c r="D340" s="161"/>
      <c r="E340" s="135"/>
      <c r="F340" s="161"/>
      <c r="G340" s="135"/>
      <c r="H340" s="135"/>
      <c r="I340" s="161"/>
      <c r="J340" s="161"/>
      <c r="K340" s="161"/>
      <c r="L340" s="161"/>
      <c r="M340" s="161"/>
    </row>
    <row r="341" spans="1:13">
      <c r="A341" s="161"/>
      <c r="B341" s="161"/>
      <c r="C341" s="161"/>
      <c r="D341" s="161"/>
      <c r="E341" s="135"/>
      <c r="F341" s="161"/>
      <c r="G341" s="135"/>
      <c r="H341" s="135"/>
      <c r="I341" s="161"/>
      <c r="J341" s="161"/>
      <c r="K341" s="161"/>
      <c r="L341" s="161"/>
      <c r="M341" s="161"/>
    </row>
    <row r="342" spans="1:13">
      <c r="A342" s="161"/>
      <c r="B342" s="161"/>
      <c r="C342" s="161"/>
      <c r="D342" s="161"/>
      <c r="E342" s="135"/>
      <c r="F342" s="161"/>
      <c r="G342" s="135"/>
      <c r="H342" s="135"/>
      <c r="I342" s="161"/>
      <c r="J342" s="161"/>
      <c r="K342" s="161"/>
      <c r="L342" s="161"/>
      <c r="M342" s="161"/>
    </row>
    <row r="343" spans="1:13">
      <c r="A343" s="161"/>
      <c r="B343" s="161"/>
      <c r="C343" s="161"/>
      <c r="D343" s="161"/>
      <c r="E343" s="135"/>
      <c r="F343" s="161"/>
      <c r="G343" s="135"/>
      <c r="H343" s="135"/>
      <c r="I343" s="161"/>
      <c r="J343" s="161"/>
      <c r="K343" s="161"/>
      <c r="L343" s="161"/>
      <c r="M343" s="161"/>
    </row>
    <row r="344" spans="1:13">
      <c r="A344" s="161"/>
      <c r="B344" s="161"/>
      <c r="C344" s="161"/>
      <c r="D344" s="161"/>
      <c r="E344" s="135"/>
      <c r="F344" s="161"/>
      <c r="G344" s="135"/>
      <c r="H344" s="135"/>
      <c r="I344" s="161"/>
      <c r="J344" s="161"/>
      <c r="K344" s="161"/>
      <c r="L344" s="161"/>
      <c r="M344" s="161"/>
    </row>
    <row r="345" spans="1:13">
      <c r="A345" s="161"/>
      <c r="B345" s="161"/>
      <c r="C345" s="161"/>
      <c r="D345" s="161"/>
      <c r="E345" s="135"/>
      <c r="F345" s="161"/>
      <c r="G345" s="135"/>
      <c r="H345" s="135"/>
      <c r="I345" s="161"/>
      <c r="J345" s="161"/>
      <c r="K345" s="161"/>
      <c r="L345" s="161"/>
      <c r="M345" s="161"/>
    </row>
    <row r="346" spans="1:13">
      <c r="A346" s="161"/>
      <c r="B346" s="161"/>
      <c r="C346" s="161"/>
      <c r="D346" s="161"/>
      <c r="E346" s="135"/>
      <c r="F346" s="161"/>
      <c r="G346" s="135"/>
      <c r="H346" s="135"/>
      <c r="I346" s="161"/>
      <c r="J346" s="161"/>
      <c r="K346" s="161"/>
      <c r="L346" s="161"/>
      <c r="M346" s="161"/>
    </row>
    <row r="347" spans="1:13">
      <c r="A347" s="161"/>
      <c r="B347" s="161"/>
      <c r="C347" s="161"/>
      <c r="D347" s="161"/>
      <c r="E347" s="135"/>
      <c r="F347" s="161"/>
      <c r="G347" s="135"/>
      <c r="H347" s="135"/>
      <c r="I347" s="161"/>
      <c r="J347" s="161"/>
      <c r="K347" s="161"/>
      <c r="L347" s="161"/>
      <c r="M347" s="161"/>
    </row>
    <row r="348" spans="1:13">
      <c r="A348" s="161"/>
      <c r="B348" s="161"/>
      <c r="C348" s="161"/>
      <c r="D348" s="161"/>
      <c r="E348" s="135"/>
      <c r="F348" s="161"/>
      <c r="G348" s="135"/>
      <c r="H348" s="135"/>
      <c r="I348" s="161"/>
      <c r="J348" s="161"/>
      <c r="K348" s="161"/>
      <c r="L348" s="161"/>
      <c r="M348" s="161"/>
    </row>
    <row r="349" spans="1:13">
      <c r="A349" s="161"/>
      <c r="B349" s="161"/>
      <c r="C349" s="161"/>
      <c r="D349" s="161"/>
      <c r="E349" s="135"/>
      <c r="F349" s="161"/>
      <c r="G349" s="135"/>
      <c r="H349" s="135"/>
      <c r="I349" s="161"/>
      <c r="J349" s="161"/>
      <c r="K349" s="161"/>
      <c r="L349" s="161"/>
      <c r="M349" s="161"/>
    </row>
    <row r="350" spans="1:13">
      <c r="A350" s="161"/>
      <c r="B350" s="161"/>
      <c r="C350" s="161"/>
      <c r="D350" s="161"/>
      <c r="E350" s="135"/>
      <c r="F350" s="161"/>
      <c r="G350" s="135"/>
      <c r="H350" s="135"/>
      <c r="I350" s="161"/>
      <c r="J350" s="161"/>
      <c r="K350" s="161"/>
      <c r="L350" s="161"/>
      <c r="M350" s="161"/>
    </row>
    <row r="351" spans="1:13">
      <c r="A351" s="161"/>
      <c r="B351" s="161"/>
      <c r="C351" s="161"/>
      <c r="D351" s="161"/>
      <c r="E351" s="135"/>
      <c r="F351" s="161"/>
      <c r="G351" s="135"/>
      <c r="H351" s="135"/>
      <c r="I351" s="161"/>
      <c r="J351" s="161"/>
      <c r="K351" s="161"/>
      <c r="L351" s="161"/>
      <c r="M351" s="161"/>
    </row>
    <row r="352" spans="1:13">
      <c r="A352" s="161"/>
      <c r="B352" s="161"/>
      <c r="C352" s="161"/>
      <c r="D352" s="161"/>
      <c r="E352" s="135"/>
      <c r="F352" s="161"/>
      <c r="G352" s="135"/>
      <c r="H352" s="135"/>
      <c r="I352" s="161"/>
      <c r="J352" s="161"/>
      <c r="K352" s="161"/>
      <c r="L352" s="161"/>
      <c r="M352" s="161"/>
    </row>
    <row r="353" spans="1:13">
      <c r="A353" s="161"/>
      <c r="B353" s="161"/>
      <c r="C353" s="161"/>
      <c r="D353" s="161"/>
      <c r="E353" s="135"/>
      <c r="F353" s="161"/>
      <c r="G353" s="135"/>
      <c r="H353" s="135"/>
      <c r="I353" s="161"/>
      <c r="J353" s="161"/>
      <c r="K353" s="161"/>
      <c r="L353" s="161"/>
      <c r="M353" s="161"/>
    </row>
    <row r="354" spans="1:13">
      <c r="A354" s="161"/>
      <c r="B354" s="161"/>
      <c r="C354" s="161"/>
      <c r="D354" s="161"/>
      <c r="E354" s="135"/>
      <c r="F354" s="161"/>
      <c r="G354" s="135"/>
      <c r="H354" s="135"/>
      <c r="I354" s="161"/>
      <c r="J354" s="161"/>
      <c r="K354" s="161"/>
      <c r="L354" s="161"/>
      <c r="M354" s="161"/>
    </row>
    <row r="355" spans="1:13">
      <c r="A355" s="161"/>
      <c r="B355" s="161"/>
      <c r="C355" s="161"/>
      <c r="D355" s="161"/>
      <c r="E355" s="135"/>
      <c r="F355" s="161"/>
      <c r="G355" s="135"/>
      <c r="H355" s="135"/>
      <c r="I355" s="161"/>
      <c r="J355" s="161"/>
      <c r="K355" s="161"/>
      <c r="L355" s="161"/>
      <c r="M355" s="161"/>
    </row>
  </sheetData>
  <mergeCells count="33">
    <mergeCell ref="A16:C17"/>
    <mergeCell ref="D16:D17"/>
    <mergeCell ref="F25:J25"/>
    <mergeCell ref="A3:C4"/>
    <mergeCell ref="A5:C6"/>
    <mergeCell ref="A7:C8"/>
    <mergeCell ref="A9:C10"/>
    <mergeCell ref="F16:J16"/>
    <mergeCell ref="A21:C21"/>
    <mergeCell ref="E16:E17"/>
    <mergeCell ref="E15:F15"/>
    <mergeCell ref="A19:C19"/>
    <mergeCell ref="A20:C20"/>
    <mergeCell ref="A18:C18"/>
    <mergeCell ref="B1:I1"/>
    <mergeCell ref="A2:C2"/>
    <mergeCell ref="D13:D14"/>
    <mergeCell ref="A11:C12"/>
    <mergeCell ref="A13:C14"/>
    <mergeCell ref="D3:D4"/>
    <mergeCell ref="D5:D6"/>
    <mergeCell ref="D9:D10"/>
    <mergeCell ref="D11:D12"/>
    <mergeCell ref="D7:D8"/>
    <mergeCell ref="A32:C32"/>
    <mergeCell ref="A22:C22"/>
    <mergeCell ref="A23:C23"/>
    <mergeCell ref="A27:C27"/>
    <mergeCell ref="A28:C28"/>
    <mergeCell ref="A26:C26"/>
    <mergeCell ref="A29:C29"/>
    <mergeCell ref="A30:C30"/>
    <mergeCell ref="A31:C31"/>
  </mergeCells>
  <phoneticPr fontId="0" type="noConversion"/>
  <conditionalFormatting sqref="D11">
    <cfRule type="expression" dxfId="84" priority="1" stopIfTrue="1">
      <formula>ISNUMBER(D2)</formula>
    </cfRule>
  </conditionalFormatting>
  <conditionalFormatting sqref="D9">
    <cfRule type="expression" dxfId="83" priority="2" stopIfTrue="1">
      <formula>NOT(ISNUMBER(D2))</formula>
    </cfRule>
  </conditionalFormatting>
  <conditionalFormatting sqref="D13">
    <cfRule type="expression" dxfId="82" priority="3" stopIfTrue="1">
      <formula>ISNUMBER(D2)</formula>
    </cfRule>
    <cfRule type="expression" dxfId="81" priority="4" stopIfTrue="1">
      <formula>NOT(ISNUMBER(D2))</formula>
    </cfRule>
  </conditionalFormatting>
  <conditionalFormatting sqref="B25">
    <cfRule type="expression" dxfId="80" priority="5" stopIfTrue="1">
      <formula>NOT(ISNUMBER(D25))</formula>
    </cfRule>
    <cfRule type="expression" dxfId="79" priority="6" stopIfTrue="1">
      <formula>ISNUMBER(D25)</formula>
    </cfRule>
  </conditionalFormatting>
  <conditionalFormatting sqref="C25">
    <cfRule type="expression" dxfId="78" priority="7" stopIfTrue="1">
      <formula>NOT(ISNUMBER(D25))</formula>
    </cfRule>
    <cfRule type="expression" dxfId="77" priority="8" stopIfTrue="1">
      <formula>ISNUMBER(D25)</formula>
    </cfRule>
  </conditionalFormatting>
  <conditionalFormatting sqref="A25">
    <cfRule type="expression" dxfId="76" priority="9" stopIfTrue="1">
      <formula>NOT(ISNUMBER(D25))</formula>
    </cfRule>
    <cfRule type="expression" dxfId="75" priority="10" stopIfTrue="1">
      <formula>"ISNUMBER(E84)"</formula>
    </cfRule>
  </conditionalFormatting>
  <conditionalFormatting sqref="D26">
    <cfRule type="expression" dxfId="74" priority="11" stopIfTrue="1">
      <formula>ISNUMBER(G2)</formula>
    </cfRule>
  </conditionalFormatting>
  <conditionalFormatting sqref="D3:D4">
    <cfRule type="expression" dxfId="73" priority="12" stopIfTrue="1">
      <formula>NOT(ISBLANK(D2))</formula>
    </cfRule>
  </conditionalFormatting>
  <conditionalFormatting sqref="A26:C26">
    <cfRule type="expression" dxfId="72" priority="13" stopIfTrue="1">
      <formula>D2&gt;1</formula>
    </cfRule>
  </conditionalFormatting>
  <conditionalFormatting sqref="A27:C27">
    <cfRule type="expression" dxfId="71" priority="14" stopIfTrue="1">
      <formula>AND(D2&gt;1,ISNUMBER(E27))</formula>
    </cfRule>
  </conditionalFormatting>
  <conditionalFormatting sqref="A28:C28">
    <cfRule type="expression" dxfId="70" priority="15" stopIfTrue="1">
      <formula>AND(D2&gt;1,ISNUMBER(E28))</formula>
    </cfRule>
  </conditionalFormatting>
  <conditionalFormatting sqref="A29:C29">
    <cfRule type="expression" dxfId="69" priority="16" stopIfTrue="1">
      <formula>AND(D2&gt;1,ISNUMBER(E29))</formula>
    </cfRule>
  </conditionalFormatting>
  <conditionalFormatting sqref="A30:C30">
    <cfRule type="expression" dxfId="68" priority="17" stopIfTrue="1">
      <formula>AND(D2&gt;1,ISNUMBER(E30))</formula>
    </cfRule>
  </conditionalFormatting>
  <conditionalFormatting sqref="A31:C31">
    <cfRule type="expression" dxfId="67" priority="18" stopIfTrue="1">
      <formula>AND(D2&gt;1,ISNUMBER(E31))</formula>
    </cfRule>
  </conditionalFormatting>
  <conditionalFormatting sqref="A32:C32">
    <cfRule type="expression" dxfId="66" priority="19" stopIfTrue="1">
      <formula>AND(D2&gt;1,ISNUMBER(E32))</formula>
    </cfRule>
  </conditionalFormatting>
  <conditionalFormatting sqref="F25:J25">
    <cfRule type="expression" dxfId="65" priority="20" stopIfTrue="1">
      <formula>D2&gt;1</formula>
    </cfRule>
  </conditionalFormatting>
  <conditionalFormatting sqref="D27">
    <cfRule type="expression" dxfId="64" priority="21" stopIfTrue="1">
      <formula>AND(D2&gt;1,ISNUMBER(E27))</formula>
    </cfRule>
  </conditionalFormatting>
  <conditionalFormatting sqref="D28">
    <cfRule type="expression" dxfId="63" priority="22" stopIfTrue="1">
      <formula>AND(D2&gt;1,ISNUMBER(E28))</formula>
    </cfRule>
  </conditionalFormatting>
  <conditionalFormatting sqref="D29">
    <cfRule type="expression" dxfId="62" priority="23" stopIfTrue="1">
      <formula>AND(D2&gt;1,ISNUMBER(E29))</formula>
    </cfRule>
  </conditionalFormatting>
  <conditionalFormatting sqref="D30">
    <cfRule type="expression" dxfId="61" priority="24" stopIfTrue="1">
      <formula>AND(D2&gt;1,ISNUMBER(E30))</formula>
    </cfRule>
  </conditionalFormatting>
  <conditionalFormatting sqref="D31">
    <cfRule type="expression" dxfId="60" priority="25" stopIfTrue="1">
      <formula>AND(D2&gt;1,ISNUMBER(E31))</formula>
    </cfRule>
  </conditionalFormatting>
  <conditionalFormatting sqref="D32">
    <cfRule type="expression" dxfId="59" priority="26" stopIfTrue="1">
      <formula>AND(D2&gt;1,ISNUMBER(E32))</formula>
    </cfRule>
  </conditionalFormatting>
  <conditionalFormatting sqref="E26">
    <cfRule type="expression" dxfId="58" priority="27" stopIfTrue="1">
      <formula>D2&gt;1</formula>
    </cfRule>
  </conditionalFormatting>
  <conditionalFormatting sqref="E27">
    <cfRule type="expression" dxfId="57" priority="28" stopIfTrue="1">
      <formula>AND(D2&gt;1,ISNUMBER(E27))</formula>
    </cfRule>
  </conditionalFormatting>
  <conditionalFormatting sqref="E28">
    <cfRule type="expression" dxfId="56" priority="29" stopIfTrue="1">
      <formula>AND(D2&gt;1,ISNUMBER(E28))</formula>
    </cfRule>
  </conditionalFormatting>
  <conditionalFormatting sqref="E29">
    <cfRule type="expression" dxfId="55" priority="30" stopIfTrue="1">
      <formula>AND(D2&gt;1,ISNUMBER(E29))</formula>
    </cfRule>
  </conditionalFormatting>
  <conditionalFormatting sqref="E30">
    <cfRule type="expression" dxfId="54" priority="31" stopIfTrue="1">
      <formula>AND(D2&gt;1,ISNUMBER(E30))</formula>
    </cfRule>
  </conditionalFormatting>
  <conditionalFormatting sqref="E31">
    <cfRule type="expression" dxfId="53" priority="32" stopIfTrue="1">
      <formula>AND(D2&gt;1,ISNUMBER(E31))</formula>
    </cfRule>
  </conditionalFormatting>
  <conditionalFormatting sqref="E32">
    <cfRule type="expression" dxfId="52" priority="33" stopIfTrue="1">
      <formula>AND(D2&gt;1,ISNUMBER(E32))</formula>
    </cfRule>
  </conditionalFormatting>
  <conditionalFormatting sqref="F26">
    <cfRule type="expression" dxfId="51" priority="34" stopIfTrue="1">
      <formula>D2&gt;1</formula>
    </cfRule>
  </conditionalFormatting>
  <conditionalFormatting sqref="G26">
    <cfRule type="expression" dxfId="50" priority="35" stopIfTrue="1">
      <formula>D2&gt;1</formula>
    </cfRule>
  </conditionalFormatting>
  <conditionalFormatting sqref="H26">
    <cfRule type="expression" dxfId="49" priority="36" stopIfTrue="1">
      <formula>D2&gt;1</formula>
    </cfRule>
  </conditionalFormatting>
  <conditionalFormatting sqref="I26">
    <cfRule type="expression" dxfId="48" priority="37" stopIfTrue="1">
      <formula>D2&gt;1</formula>
    </cfRule>
  </conditionalFormatting>
  <conditionalFormatting sqref="J26">
    <cfRule type="expression" dxfId="47" priority="38" stopIfTrue="1">
      <formula>D2&gt;1</formula>
    </cfRule>
  </conditionalFormatting>
  <conditionalFormatting sqref="G27">
    <cfRule type="expression" dxfId="46" priority="39" stopIfTrue="1">
      <formula>D2&gt;1</formula>
    </cfRule>
  </conditionalFormatting>
  <conditionalFormatting sqref="H27">
    <cfRule type="expression" dxfId="45" priority="40" stopIfTrue="1">
      <formula>D2&gt;1</formula>
    </cfRule>
  </conditionalFormatting>
  <conditionalFormatting sqref="I27">
    <cfRule type="expression" dxfId="44" priority="41" stopIfTrue="1">
      <formula>D2&gt;1</formula>
    </cfRule>
  </conditionalFormatting>
  <conditionalFormatting sqref="J27">
    <cfRule type="expression" dxfId="43" priority="42" stopIfTrue="1">
      <formula>D2&gt;1</formula>
    </cfRule>
  </conditionalFormatting>
  <conditionalFormatting sqref="J28">
    <cfRule type="expression" dxfId="42" priority="43" stopIfTrue="1">
      <formula>D2&gt;1</formula>
    </cfRule>
  </conditionalFormatting>
  <conditionalFormatting sqref="I28">
    <cfRule type="expression" dxfId="41" priority="44" stopIfTrue="1">
      <formula>D2&gt;1</formula>
    </cfRule>
  </conditionalFormatting>
  <conditionalFormatting sqref="H28">
    <cfRule type="expression" dxfId="40" priority="45" stopIfTrue="1">
      <formula>D2&gt;1</formula>
    </cfRule>
  </conditionalFormatting>
  <conditionalFormatting sqref="G28">
    <cfRule type="expression" dxfId="39" priority="46" stopIfTrue="1">
      <formula>D2&gt;1</formula>
    </cfRule>
  </conditionalFormatting>
  <conditionalFormatting sqref="F28">
    <cfRule type="expression" dxfId="38" priority="47" stopIfTrue="1">
      <formula>D2&gt;1</formula>
    </cfRule>
  </conditionalFormatting>
  <conditionalFormatting sqref="F29">
    <cfRule type="expression" dxfId="37" priority="48" stopIfTrue="1">
      <formula>D2&gt;1</formula>
    </cfRule>
  </conditionalFormatting>
  <conditionalFormatting sqref="G29">
    <cfRule type="expression" dxfId="36" priority="49" stopIfTrue="1">
      <formula>D2&gt;1</formula>
    </cfRule>
  </conditionalFormatting>
  <conditionalFormatting sqref="H29">
    <cfRule type="expression" dxfId="35" priority="50" stopIfTrue="1">
      <formula>D2&gt;1</formula>
    </cfRule>
  </conditionalFormatting>
  <conditionalFormatting sqref="I29">
    <cfRule type="expression" dxfId="34" priority="51" stopIfTrue="1">
      <formula>D2&gt;1</formula>
    </cfRule>
  </conditionalFormatting>
  <conditionalFormatting sqref="J29">
    <cfRule type="expression" dxfId="33" priority="52" stopIfTrue="1">
      <formula>D2&gt;1</formula>
    </cfRule>
  </conditionalFormatting>
  <conditionalFormatting sqref="J30">
    <cfRule type="expression" dxfId="32" priority="53" stopIfTrue="1">
      <formula>D2&gt;1</formula>
    </cfRule>
  </conditionalFormatting>
  <conditionalFormatting sqref="I30">
    <cfRule type="expression" dxfId="31" priority="54" stopIfTrue="1">
      <formula>D2&gt;1</formula>
    </cfRule>
  </conditionalFormatting>
  <conditionalFormatting sqref="H30">
    <cfRule type="expression" dxfId="30" priority="55" stopIfTrue="1">
      <formula>D2&gt;1</formula>
    </cfRule>
  </conditionalFormatting>
  <conditionalFormatting sqref="G30">
    <cfRule type="expression" dxfId="29" priority="56" stopIfTrue="1">
      <formula>D2&gt;1</formula>
    </cfRule>
  </conditionalFormatting>
  <conditionalFormatting sqref="F30">
    <cfRule type="expression" dxfId="28" priority="57" stopIfTrue="1">
      <formula>D2&gt;1</formula>
    </cfRule>
  </conditionalFormatting>
  <conditionalFormatting sqref="F31">
    <cfRule type="expression" dxfId="27" priority="58" stopIfTrue="1">
      <formula>D2&gt;1</formula>
    </cfRule>
  </conditionalFormatting>
  <conditionalFormatting sqref="G31">
    <cfRule type="expression" dxfId="26" priority="59" stopIfTrue="1">
      <formula>D2&gt;1</formula>
    </cfRule>
  </conditionalFormatting>
  <conditionalFormatting sqref="H31">
    <cfRule type="expression" dxfId="25" priority="60" stopIfTrue="1">
      <formula>D2&gt;1</formula>
    </cfRule>
  </conditionalFormatting>
  <conditionalFormatting sqref="I31">
    <cfRule type="expression" dxfId="24" priority="61" stopIfTrue="1">
      <formula>D2&gt;1</formula>
    </cfRule>
  </conditionalFormatting>
  <conditionalFormatting sqref="J31">
    <cfRule type="expression" dxfId="23" priority="62" stopIfTrue="1">
      <formula>D2&gt;1</formula>
    </cfRule>
  </conditionalFormatting>
  <conditionalFormatting sqref="J32">
    <cfRule type="expression" dxfId="22" priority="63" stopIfTrue="1">
      <formula>D2&gt;1</formula>
    </cfRule>
  </conditionalFormatting>
  <conditionalFormatting sqref="I32">
    <cfRule type="expression" dxfId="21" priority="64" stopIfTrue="1">
      <formula>D2&gt;1</formula>
    </cfRule>
  </conditionalFormatting>
  <conditionalFormatting sqref="H32">
    <cfRule type="expression" dxfId="20" priority="65" stopIfTrue="1">
      <formula>D2&gt;1</formula>
    </cfRule>
  </conditionalFormatting>
  <conditionalFormatting sqref="G32">
    <cfRule type="expression" dxfId="19" priority="66" stopIfTrue="1">
      <formula>D2&gt;1</formula>
    </cfRule>
  </conditionalFormatting>
  <conditionalFormatting sqref="F32">
    <cfRule type="expression" dxfId="18" priority="67" stopIfTrue="1">
      <formula>D2&gt;1</formula>
    </cfRule>
  </conditionalFormatting>
  <conditionalFormatting sqref="F27">
    <cfRule type="expression" dxfId="17" priority="68" stopIfTrue="1">
      <formula>D2&gt;1</formula>
    </cfRule>
  </conditionalFormatting>
  <conditionalFormatting sqref="J15">
    <cfRule type="cellIs" dxfId="16" priority="69" stopIfTrue="1" operator="greaterThan">
      <formula>0</formula>
    </cfRule>
  </conditionalFormatting>
  <conditionalFormatting sqref="E3:E14 D2">
    <cfRule type="cellIs" dxfId="15" priority="70" stopIfTrue="1" operator="greaterThan">
      <formula>0</formula>
    </cfRule>
  </conditionalFormatting>
  <conditionalFormatting sqref="F17:J17 D18:D25">
    <cfRule type="expression" dxfId="14" priority="71" stopIfTrue="1">
      <formula>NOT(ISNUMBER(D17))</formula>
    </cfRule>
  </conditionalFormatting>
  <conditionalFormatting sqref="E18:E24">
    <cfRule type="expression" dxfId="13" priority="72" stopIfTrue="1">
      <formula>NOT(ISNUMBER(E18))</formula>
    </cfRule>
  </conditionalFormatting>
  <conditionalFormatting sqref="F18:J22">
    <cfRule type="expression" dxfId="12" priority="73" stopIfTrue="1">
      <formula>F18=0</formula>
    </cfRule>
    <cfRule type="expression" dxfId="11" priority="74" stopIfTrue="1">
      <formula>AND(NOT(F18="Father"),NOT(F18="Mother"))</formula>
    </cfRule>
  </conditionalFormatting>
  <conditionalFormatting sqref="F24">
    <cfRule type="expression" dxfId="10" priority="75" stopIfTrue="1">
      <formula>F24=0</formula>
    </cfRule>
    <cfRule type="expression" dxfId="9" priority="76" stopIfTrue="1">
      <formula>AND(NOT(F24="Father"),NOT(F24="Mother"))</formula>
    </cfRule>
  </conditionalFormatting>
  <conditionalFormatting sqref="H23:H24 G24">
    <cfRule type="expression" dxfId="8" priority="77" stopIfTrue="1">
      <formula>G23=0</formula>
    </cfRule>
    <cfRule type="expression" dxfId="7" priority="78" stopIfTrue="1">
      <formula>AND(NOT(G23="Father"),NOT(G23="Mother"))</formula>
    </cfRule>
  </conditionalFormatting>
  <conditionalFormatting sqref="I23:J24">
    <cfRule type="expression" dxfId="6" priority="79" stopIfTrue="1">
      <formula>I23=0</formula>
    </cfRule>
    <cfRule type="expression" dxfId="5" priority="80" stopIfTrue="1">
      <formula>AND(NOT(I23="Father"),NOT(I23="Mother"))</formula>
    </cfRule>
  </conditionalFormatting>
  <conditionalFormatting sqref="F23">
    <cfRule type="expression" dxfId="4" priority="81" stopIfTrue="1">
      <formula>F23=0</formula>
    </cfRule>
    <cfRule type="expression" dxfId="3" priority="82" stopIfTrue="1">
      <formula>AND(NOT(F23="Father"),NOT(F23="Mother"))</formula>
    </cfRule>
  </conditionalFormatting>
  <conditionalFormatting sqref="G23">
    <cfRule type="expression" dxfId="2" priority="83" stopIfTrue="1">
      <formula>G23=0</formula>
    </cfRule>
    <cfRule type="expression" dxfId="1" priority="84" stopIfTrue="1">
      <formula>AND(NOT(G23="Father"),NOT(G23="Mother"))</formula>
    </cfRule>
  </conditionalFormatting>
  <conditionalFormatting sqref="F3:F14 J14">
    <cfRule type="cellIs" dxfId="0" priority="85" stopIfTrue="1" operator="greaterThan">
      <formula>0</formula>
    </cfRule>
  </conditionalFormatting>
  <dataValidations xWindow="730" yWindow="338" count="2">
    <dataValidation allowBlank="1" showInputMessage="1" showErrorMessage="1" promptTitle="Parent Entitled To Deduction" prompt="Enter &quot;Father&quot; or &quot;Mother&quot; For Each Child &amp; Each Year To Customize Tax Deductions." sqref="F27:J32"/>
    <dataValidation allowBlank="1" showInputMessage="1" showErrorMessage="1" promptTitle="Customized Tax Deductions" prompt="Enter Any Number Greater Than 1 To Customize Tax Deduction Table Shown In Blue Below.  To Compare To Tax Deduction Schedule Delete Number." sqref="D2"/>
  </dataValidations>
  <pageMargins left="0.5" right="0.5" top="1" bottom="1.5"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1:AA101"/>
  <sheetViews>
    <sheetView workbookViewId="0">
      <selection activeCell="B7" sqref="B7"/>
    </sheetView>
  </sheetViews>
  <sheetFormatPr defaultRowHeight="12.75"/>
  <cols>
    <col min="1" max="1" width="11" style="304" customWidth="1"/>
    <col min="2" max="2" width="134.85546875" style="100" customWidth="1"/>
    <col min="3" max="12" width="9.140625" style="100"/>
    <col min="13" max="13" width="8.7109375" style="100" customWidth="1"/>
    <col min="14" max="15" width="9.140625" style="100" hidden="1" customWidth="1"/>
    <col min="16" max="16384" width="9.140625" style="100"/>
  </cols>
  <sheetData>
    <row r="1" spans="1:27">
      <c r="B1" s="310" t="s">
        <v>255</v>
      </c>
    </row>
    <row r="2" spans="1:27" ht="34.5" customHeight="1">
      <c r="B2" s="226" t="s">
        <v>224</v>
      </c>
      <c r="C2" s="226"/>
      <c r="D2" s="226"/>
      <c r="E2" s="226"/>
      <c r="F2" s="226"/>
      <c r="G2" s="226"/>
      <c r="H2" s="226"/>
      <c r="I2" s="226"/>
      <c r="J2" s="226"/>
      <c r="K2" s="226"/>
      <c r="L2" s="226"/>
      <c r="M2" s="226"/>
      <c r="N2" s="226"/>
      <c r="O2" s="226"/>
      <c r="P2" s="226"/>
      <c r="Q2" s="226"/>
      <c r="R2" s="226"/>
      <c r="S2" s="226"/>
      <c r="T2" s="226"/>
      <c r="U2" s="226"/>
      <c r="V2" s="226"/>
      <c r="W2" s="226"/>
      <c r="X2" s="226"/>
      <c r="Y2" s="226"/>
      <c r="Z2" s="226"/>
      <c r="AA2" s="230"/>
    </row>
    <row r="3" spans="1:27" ht="30" customHeight="1">
      <c r="B3" s="226" t="s">
        <v>225</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row>
    <row r="4" spans="1:27" ht="39.75" customHeight="1">
      <c r="B4" s="226" t="s">
        <v>257</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row>
    <row r="5" spans="1:27" ht="38.25" customHeight="1">
      <c r="B5" s="226" t="s">
        <v>256</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row>
    <row r="6" spans="1:27" ht="38.25" customHeight="1">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row>
    <row r="7" spans="1:27" ht="15" customHeight="1">
      <c r="A7" s="100"/>
      <c r="B7" s="310" t="s">
        <v>678</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row>
    <row r="8" spans="1:27" ht="12.75" customHeight="1">
      <c r="A8" s="305">
        <f>IF(Worksheet!G199="x",1000,IF(Worksheet!G200="x",2000,IF(Worksheet!G201="x",3000,4000)))</f>
        <v>1000</v>
      </c>
      <c r="B8" s="100" t="s">
        <v>627</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row>
    <row r="9" spans="1:27" ht="12.75" customHeight="1">
      <c r="A9" s="305">
        <f>IF(NOT(ISNUMBER(Worksheet!U44)),0,IF(Worksheet!U44=1,100,IF(Worksheet!U44&gt;1,200,"")))</f>
        <v>0</v>
      </c>
      <c r="B9" s="100" t="s">
        <v>249</v>
      </c>
      <c r="C9" s="226"/>
      <c r="D9" s="226"/>
      <c r="E9" s="226"/>
      <c r="F9" s="226"/>
      <c r="G9" s="226"/>
      <c r="H9" s="226"/>
      <c r="I9" s="226"/>
      <c r="J9" s="226"/>
      <c r="K9" s="226"/>
      <c r="L9" s="226"/>
      <c r="M9" s="226"/>
      <c r="N9" s="226"/>
      <c r="O9" s="226"/>
      <c r="P9" s="226"/>
      <c r="Q9" s="226"/>
      <c r="R9" s="226"/>
      <c r="S9" s="226"/>
      <c r="T9" s="226"/>
      <c r="U9" s="226"/>
      <c r="V9" s="226"/>
      <c r="W9" s="226"/>
      <c r="X9" s="226"/>
      <c r="Y9" s="226"/>
      <c r="Z9" s="226"/>
      <c r="AA9" s="226"/>
    </row>
    <row r="10" spans="1:27" ht="12.75" customHeight="1">
      <c r="A10" s="306">
        <f>IF(AND(ISBLANK(Worksheet!J46),ISBLANK(Worksheet!M46)),30,IF(NOT(ISBLANK(Worksheet!J46)),20,10))</f>
        <v>30</v>
      </c>
      <c r="B10" s="100" t="s">
        <v>254</v>
      </c>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row>
    <row r="11" spans="1:27" ht="12.75" customHeight="1">
      <c r="A11" s="305">
        <f>SUM(A8:A10)</f>
        <v>1030</v>
      </c>
      <c r="B11" s="100" t="s">
        <v>248</v>
      </c>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row>
    <row r="12" spans="1:27" ht="12.75" customHeight="1">
      <c r="A12" s="305">
        <f>A11+1</f>
        <v>1031</v>
      </c>
      <c r="B12" s="100" t="s">
        <v>250</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row>
    <row r="13" spans="1:27" ht="12.75" customHeight="1">
      <c r="A13" s="305">
        <f>A11+2</f>
        <v>1032</v>
      </c>
      <c r="B13" s="100" t="s">
        <v>251</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row>
    <row r="14" spans="1:27" ht="12.75" customHeight="1">
      <c r="A14" s="305">
        <f>A11+3</f>
        <v>1033</v>
      </c>
      <c r="B14" s="100" t="s">
        <v>253</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row>
    <row r="15" spans="1:27" s="844" customFormat="1" ht="12.75" customHeight="1">
      <c r="A15" s="853">
        <f>A11+4</f>
        <v>1034</v>
      </c>
      <c r="B15" s="852" t="s">
        <v>654</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row>
    <row r="16" spans="1:27" ht="12.75" customHeight="1">
      <c r="A16" s="854"/>
      <c r="B16" s="85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row>
    <row r="17" spans="1:27" ht="15" customHeight="1">
      <c r="A17" s="855">
        <v>1031</v>
      </c>
      <c r="B17" s="848" t="s">
        <v>638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row>
    <row r="18" spans="1:27" ht="12.75" customHeight="1">
      <c r="A18" s="856">
        <v>1032</v>
      </c>
      <c r="B18" s="850" t="s">
        <v>641</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row>
    <row r="19" spans="1:27" ht="12.75" customHeight="1">
      <c r="A19" s="856">
        <v>1033</v>
      </c>
      <c r="B19" s="850" t="s">
        <v>629</v>
      </c>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row>
    <row r="20" spans="1:27" s="844" customFormat="1" ht="12.75" customHeight="1">
      <c r="A20" s="857">
        <v>1034</v>
      </c>
      <c r="B20" s="849"/>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row>
    <row r="21" spans="1:27" ht="12.75" customHeight="1">
      <c r="A21" s="856">
        <v>1131</v>
      </c>
      <c r="B21" s="850" t="s">
        <v>638</v>
      </c>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row>
    <row r="22" spans="1:27" ht="12.75" customHeight="1">
      <c r="A22" s="856">
        <v>1132</v>
      </c>
      <c r="B22" s="850" t="s">
        <v>640</v>
      </c>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1:27" ht="12.75" customHeight="1">
      <c r="A23" s="856">
        <v>1133</v>
      </c>
      <c r="B23" s="850" t="s">
        <v>631</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row>
    <row r="24" spans="1:27" s="844" customFormat="1" ht="12.75" customHeight="1">
      <c r="A24" s="857">
        <v>1134</v>
      </c>
      <c r="B24" s="849"/>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1:27" ht="12.75" customHeight="1">
      <c r="A25" s="856">
        <v>1231</v>
      </c>
      <c r="B25" s="850" t="s">
        <v>638</v>
      </c>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row>
    <row r="26" spans="1:27" ht="12.75" customHeight="1">
      <c r="A26" s="856">
        <v>1232</v>
      </c>
      <c r="B26" s="850" t="s">
        <v>639</v>
      </c>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row>
    <row r="27" spans="1:27" ht="12.75" customHeight="1">
      <c r="A27" s="856">
        <v>1233</v>
      </c>
      <c r="B27" s="850" t="s">
        <v>630</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row>
    <row r="28" spans="1:27" s="844" customFormat="1" ht="12.75" customHeight="1">
      <c r="A28" s="856">
        <v>1234</v>
      </c>
      <c r="B28" s="850"/>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row>
    <row r="29" spans="1:27" ht="12.75" customHeight="1">
      <c r="A29" s="855">
        <v>1111</v>
      </c>
      <c r="B29" s="848" t="s">
        <v>637</v>
      </c>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row>
    <row r="30" spans="1:27" ht="38.25" customHeight="1">
      <c r="A30" s="856">
        <v>1112</v>
      </c>
      <c r="B30" s="850" t="s">
        <v>658</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row>
    <row r="31" spans="1:27" ht="12.75" customHeight="1">
      <c r="A31" s="856">
        <v>1113</v>
      </c>
      <c r="B31" s="850" t="s">
        <v>659</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row>
    <row r="32" spans="1:27" s="844" customFormat="1" ht="12.75" customHeight="1">
      <c r="A32" s="857">
        <v>1114</v>
      </c>
      <c r="B32" s="849" t="s">
        <v>656</v>
      </c>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row>
    <row r="33" spans="1:27" ht="15" customHeight="1">
      <c r="A33" s="856">
        <v>1211</v>
      </c>
      <c r="B33" s="850" t="s">
        <v>637</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row>
    <row r="34" spans="1:27" ht="38.25" customHeight="1">
      <c r="A34" s="856">
        <v>1212</v>
      </c>
      <c r="B34" s="850" t="s">
        <v>661</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row>
    <row r="35" spans="1:27" ht="12.75" customHeight="1">
      <c r="A35" s="856">
        <v>1213</v>
      </c>
      <c r="B35" s="850" t="s">
        <v>660</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row>
    <row r="36" spans="1:27" s="844" customFormat="1" ht="12.75" customHeight="1">
      <c r="A36" s="857">
        <v>1214</v>
      </c>
      <c r="B36" s="849" t="s">
        <v>656</v>
      </c>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row>
    <row r="37" spans="1:27" ht="15" customHeight="1">
      <c r="A37" s="856">
        <v>1121</v>
      </c>
      <c r="B37" s="850" t="s">
        <v>642</v>
      </c>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row>
    <row r="38" spans="1:27" ht="41.25" customHeight="1">
      <c r="A38" s="856">
        <v>1122</v>
      </c>
      <c r="B38" s="850" t="s">
        <v>657</v>
      </c>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row>
    <row r="39" spans="1:27" ht="12.75" customHeight="1">
      <c r="A39" s="856">
        <v>1123</v>
      </c>
      <c r="B39" s="850" t="s">
        <v>655</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row>
    <row r="40" spans="1:27" s="844" customFormat="1" ht="12.75" customHeight="1">
      <c r="A40" s="857">
        <v>1124</v>
      </c>
      <c r="B40" s="849" t="s">
        <v>656</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row>
    <row r="41" spans="1:27" ht="15" customHeight="1">
      <c r="A41" s="856">
        <v>1221</v>
      </c>
      <c r="B41" s="850" t="s">
        <v>637</v>
      </c>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row>
    <row r="42" spans="1:27" ht="39.75" customHeight="1">
      <c r="A42" s="856">
        <v>1222</v>
      </c>
      <c r="B42" s="850" t="s">
        <v>662</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row>
    <row r="43" spans="1:27" ht="12.75" customHeight="1">
      <c r="A43" s="856">
        <v>1223</v>
      </c>
      <c r="B43" s="850" t="s">
        <v>663</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row>
    <row r="44" spans="1:27" s="844" customFormat="1" ht="12.75" customHeight="1">
      <c r="A44" s="857">
        <v>1224</v>
      </c>
      <c r="B44" s="849" t="s">
        <v>656</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row>
    <row r="45" spans="1:27" ht="15" customHeight="1">
      <c r="A45" s="856">
        <v>2111</v>
      </c>
      <c r="B45" s="850" t="s">
        <v>643</v>
      </c>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row>
    <row r="46" spans="1:27" ht="15" customHeight="1">
      <c r="A46" s="856">
        <v>2112</v>
      </c>
      <c r="B46" s="850" t="s">
        <v>644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row>
    <row r="47" spans="1:27" ht="15" customHeight="1">
      <c r="A47" s="856">
        <v>2113</v>
      </c>
      <c r="B47" s="850" t="s">
        <v>632</v>
      </c>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row>
    <row r="48" spans="1:27" s="844" customFormat="1" ht="15" customHeight="1">
      <c r="A48" s="857">
        <v>2114</v>
      </c>
      <c r="B48" s="849"/>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row>
    <row r="49" spans="1:27" ht="15" customHeight="1">
      <c r="A49" s="856">
        <v>2121</v>
      </c>
      <c r="B49" s="850" t="s">
        <v>643</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row>
    <row r="50" spans="1:27" ht="15" customHeight="1">
      <c r="A50" s="856">
        <v>2122</v>
      </c>
      <c r="B50" s="850" t="s">
        <v>644</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row>
    <row r="51" spans="1:27" ht="15" customHeight="1">
      <c r="A51" s="856">
        <v>2123</v>
      </c>
      <c r="B51" s="850" t="s">
        <v>632</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row>
    <row r="52" spans="1:27" s="844" customFormat="1" ht="15" customHeight="1">
      <c r="A52" s="857">
        <v>2124</v>
      </c>
      <c r="B52" s="849"/>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row>
    <row r="53" spans="1:27" ht="15" customHeight="1">
      <c r="A53" s="856">
        <v>2211</v>
      </c>
      <c r="B53" s="850" t="s">
        <v>645</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row>
    <row r="54" spans="1:27" ht="15" customHeight="1">
      <c r="A54" s="856">
        <v>2212</v>
      </c>
      <c r="B54" s="850" t="s">
        <v>646</v>
      </c>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row>
    <row r="55" spans="1:27" ht="15" customHeight="1">
      <c r="A55" s="856">
        <v>2213</v>
      </c>
      <c r="B55" s="850" t="s">
        <v>633</v>
      </c>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row>
    <row r="56" spans="1:27" s="844" customFormat="1" ht="15" customHeight="1">
      <c r="A56" s="857">
        <v>2214</v>
      </c>
      <c r="B56" s="849"/>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row>
    <row r="57" spans="1:27" ht="15" customHeight="1">
      <c r="A57" s="856">
        <v>2221</v>
      </c>
      <c r="B57" s="850" t="s">
        <v>647</v>
      </c>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row>
    <row r="58" spans="1:27" ht="15" customHeight="1">
      <c r="A58" s="856">
        <v>2222</v>
      </c>
      <c r="B58" s="850" t="s">
        <v>648</v>
      </c>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row>
    <row r="59" spans="1:27" ht="15" customHeight="1">
      <c r="A59" s="856">
        <v>2223</v>
      </c>
      <c r="B59" s="850" t="s">
        <v>633</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row>
    <row r="60" spans="1:27" s="844" customFormat="1" ht="15" customHeight="1">
      <c r="A60" s="857">
        <v>2224</v>
      </c>
      <c r="B60" s="849"/>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row>
    <row r="61" spans="1:27" s="844" customFormat="1" ht="15" customHeight="1">
      <c r="A61" s="856">
        <v>2231</v>
      </c>
      <c r="B61" s="850" t="s">
        <v>647</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row>
    <row r="62" spans="1:27" s="844" customFormat="1" ht="15" customHeight="1">
      <c r="A62" s="856">
        <v>2232</v>
      </c>
      <c r="B62" s="850" t="s">
        <v>648</v>
      </c>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row>
    <row r="63" spans="1:27" s="844" customFormat="1" ht="15" customHeight="1">
      <c r="A63" s="856">
        <v>2233</v>
      </c>
      <c r="B63" s="850" t="s">
        <v>633</v>
      </c>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row>
    <row r="64" spans="1:27" s="844" customFormat="1" ht="15" customHeight="1">
      <c r="A64" s="857">
        <v>2234</v>
      </c>
      <c r="B64" s="849"/>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row>
    <row r="65" spans="1:27" ht="15" customHeight="1">
      <c r="A65" s="856">
        <v>3111</v>
      </c>
      <c r="B65" s="850" t="s">
        <v>649</v>
      </c>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row>
    <row r="66" spans="1:27" ht="15" customHeight="1">
      <c r="A66" s="856">
        <v>3112</v>
      </c>
      <c r="B66" s="850" t="s">
        <v>664</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row>
    <row r="67" spans="1:27" ht="15" customHeight="1">
      <c r="A67" s="856">
        <v>3113</v>
      </c>
      <c r="B67" s="850" t="s">
        <v>666</v>
      </c>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row>
    <row r="68" spans="1:27" s="844" customFormat="1" ht="15" customHeight="1">
      <c r="A68" s="857">
        <v>3114</v>
      </c>
      <c r="B68" s="849" t="s">
        <v>665</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row>
    <row r="69" spans="1:27" ht="15" customHeight="1">
      <c r="A69" s="856">
        <v>3211</v>
      </c>
      <c r="B69" s="850" t="s">
        <v>650</v>
      </c>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row>
    <row r="70" spans="1:27" ht="15" customHeight="1">
      <c r="A70" s="856">
        <v>3212</v>
      </c>
      <c r="B70" s="850" t="s">
        <v>664</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row>
    <row r="71" spans="1:27" ht="15" customHeight="1">
      <c r="A71" s="856">
        <v>3213</v>
      </c>
      <c r="B71" s="850" t="s">
        <v>667</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row>
    <row r="72" spans="1:27" s="844" customFormat="1" ht="15" customHeight="1">
      <c r="A72" s="857">
        <v>3214</v>
      </c>
      <c r="B72" s="849" t="s">
        <v>665</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row>
    <row r="73" spans="1:27" ht="15" customHeight="1">
      <c r="A73" s="856">
        <v>3121</v>
      </c>
      <c r="B73" s="850" t="s">
        <v>651</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row>
    <row r="74" spans="1:27" ht="15" customHeight="1">
      <c r="A74" s="856">
        <v>3122</v>
      </c>
      <c r="B74" s="850" t="s">
        <v>668</v>
      </c>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row>
    <row r="75" spans="1:27" ht="15" customHeight="1">
      <c r="A75" s="856">
        <v>3123</v>
      </c>
      <c r="B75" s="850" t="s">
        <v>669</v>
      </c>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c r="AA75" s="226"/>
    </row>
    <row r="76" spans="1:27" s="844" customFormat="1" ht="15" customHeight="1">
      <c r="A76" s="857">
        <v>3124</v>
      </c>
      <c r="B76" s="849" t="s">
        <v>665</v>
      </c>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row>
    <row r="77" spans="1:27" ht="15" customHeight="1">
      <c r="A77" s="856">
        <v>3221</v>
      </c>
      <c r="B77" s="850" t="s">
        <v>650</v>
      </c>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row>
    <row r="78" spans="1:27" ht="15" customHeight="1">
      <c r="A78" s="856">
        <v>3222</v>
      </c>
      <c r="B78" s="850" t="s">
        <v>670</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row>
    <row r="79" spans="1:27" ht="15" customHeight="1">
      <c r="A79" s="856">
        <v>3223</v>
      </c>
      <c r="B79" s="850" t="s">
        <v>671</v>
      </c>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row>
    <row r="80" spans="1:27" s="844" customFormat="1" ht="15" customHeight="1">
      <c r="A80" s="857">
        <v>3224</v>
      </c>
      <c r="B80" s="849" t="s">
        <v>665</v>
      </c>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c r="AA80" s="226"/>
    </row>
    <row r="81" spans="1:27" ht="15" customHeight="1">
      <c r="A81" s="856">
        <v>4111</v>
      </c>
      <c r="B81" s="850" t="s">
        <v>653</v>
      </c>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c r="AA81" s="226"/>
    </row>
    <row r="82" spans="1:27" ht="15" customHeight="1">
      <c r="A82" s="856">
        <v>4112</v>
      </c>
      <c r="B82" s="850" t="s">
        <v>672</v>
      </c>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row>
    <row r="83" spans="1:27" ht="15" customHeight="1">
      <c r="A83" s="856">
        <v>4113</v>
      </c>
      <c r="B83" s="850" t="s">
        <v>674</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row>
    <row r="84" spans="1:27" s="844" customFormat="1" ht="15" customHeight="1">
      <c r="A84" s="857">
        <v>4114</v>
      </c>
      <c r="B84" s="849" t="s">
        <v>675</v>
      </c>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row>
    <row r="85" spans="1:27" ht="15" customHeight="1">
      <c r="A85" s="856">
        <v>4121</v>
      </c>
      <c r="B85" s="850" t="s">
        <v>652</v>
      </c>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row>
    <row r="86" spans="1:27" ht="15" customHeight="1">
      <c r="A86" s="856">
        <v>4122</v>
      </c>
      <c r="B86" s="850" t="s">
        <v>672</v>
      </c>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row>
    <row r="87" spans="1:27" ht="15" customHeight="1">
      <c r="A87" s="856">
        <v>4123</v>
      </c>
      <c r="B87" s="850" t="s">
        <v>676</v>
      </c>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row>
    <row r="88" spans="1:27" s="844" customFormat="1" ht="15" customHeight="1">
      <c r="A88" s="857">
        <v>4124</v>
      </c>
      <c r="B88" s="849" t="s">
        <v>675</v>
      </c>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row>
    <row r="89" spans="1:27" ht="15" customHeight="1">
      <c r="A89" s="856">
        <v>4211</v>
      </c>
      <c r="B89" s="850" t="s">
        <v>635</v>
      </c>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row>
    <row r="90" spans="1:27" ht="15" customHeight="1">
      <c r="A90" s="856">
        <v>4212</v>
      </c>
      <c r="B90" s="850" t="s">
        <v>673</v>
      </c>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row>
    <row r="91" spans="1:27" ht="15" customHeight="1">
      <c r="A91" s="856">
        <v>4213</v>
      </c>
      <c r="B91" s="850" t="s">
        <v>676</v>
      </c>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row>
    <row r="92" spans="1:27" s="844" customFormat="1" ht="15" customHeight="1">
      <c r="A92" s="857">
        <v>4214</v>
      </c>
      <c r="B92" s="849" t="s">
        <v>677</v>
      </c>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row>
    <row r="93" spans="1:27" ht="15" customHeight="1">
      <c r="A93" s="856">
        <v>4221</v>
      </c>
      <c r="B93" s="850" t="s">
        <v>635</v>
      </c>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row>
    <row r="94" spans="1:27" ht="15" customHeight="1">
      <c r="A94" s="856">
        <v>4222</v>
      </c>
      <c r="B94" s="850" t="s">
        <v>673</v>
      </c>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row>
    <row r="95" spans="1:27" ht="15" customHeight="1">
      <c r="A95" s="856">
        <v>4223</v>
      </c>
      <c r="B95" s="850" t="s">
        <v>676</v>
      </c>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row>
    <row r="96" spans="1:27" s="844" customFormat="1" ht="15" customHeight="1">
      <c r="A96" s="857">
        <v>4224</v>
      </c>
      <c r="B96" s="849" t="s">
        <v>677</v>
      </c>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row>
    <row r="97" spans="1:27" ht="27" customHeight="1">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row>
    <row r="98" spans="1:27">
      <c r="B98" s="263" t="s">
        <v>241</v>
      </c>
    </row>
    <row r="99" spans="1:27" ht="38.25">
      <c r="A99" s="304" t="s">
        <v>243</v>
      </c>
      <c r="B99" s="230" t="s">
        <v>242</v>
      </c>
    </row>
    <row r="100" spans="1:27" ht="38.25">
      <c r="A100" s="304" t="s">
        <v>244</v>
      </c>
      <c r="B100" s="230" t="s">
        <v>245</v>
      </c>
    </row>
    <row r="101" spans="1:27" ht="38.25">
      <c r="A101" s="304" t="s">
        <v>246</v>
      </c>
      <c r="B101" s="230" t="s">
        <v>247</v>
      </c>
    </row>
  </sheetData>
  <sheetProtection password="CA2C" sheet="1" objects="1" scenarios="1"/>
  <phoneticPr fontId="0"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B1:K73"/>
  <sheetViews>
    <sheetView topLeftCell="A4" workbookViewId="0">
      <selection activeCell="D23" sqref="D23"/>
    </sheetView>
  </sheetViews>
  <sheetFormatPr defaultRowHeight="12.75"/>
  <cols>
    <col min="1" max="1" width="2.7109375" style="26" customWidth="1"/>
    <col min="2" max="2" width="12.5703125" style="26" bestFit="1" customWidth="1"/>
    <col min="3" max="3" width="13.28515625" style="26" customWidth="1"/>
    <col min="4" max="4" width="10.140625" style="26" customWidth="1"/>
    <col min="5" max="5" width="13.28515625" style="26" customWidth="1"/>
    <col min="6" max="6" width="10.140625" style="26" customWidth="1"/>
    <col min="7" max="7" width="13.7109375" style="26" customWidth="1"/>
    <col min="8" max="8" width="10.140625" style="26" customWidth="1"/>
    <col min="9" max="9" width="13.28515625" style="26" customWidth="1"/>
    <col min="10" max="10" width="10.140625" style="26" customWidth="1"/>
    <col min="11" max="16384" width="9.140625" style="26"/>
  </cols>
  <sheetData>
    <row r="1" spans="2:11" ht="6.75" customHeight="1" thickBot="1"/>
    <row r="2" spans="2:11" ht="16.5" thickBot="1">
      <c r="B2" s="1876" t="s">
        <v>41</v>
      </c>
      <c r="C2" s="1877"/>
      <c r="D2" s="1877"/>
      <c r="E2" s="1877"/>
      <c r="F2" s="1877"/>
      <c r="G2" s="1877"/>
      <c r="H2" s="1877"/>
      <c r="I2" s="1877"/>
      <c r="J2" s="1878"/>
      <c r="K2" s="27"/>
    </row>
    <row r="3" spans="2:11">
      <c r="B3" s="1886" t="s">
        <v>47</v>
      </c>
      <c r="C3" s="1887"/>
      <c r="D3" s="1879" t="s">
        <v>182</v>
      </c>
      <c r="E3" s="1880"/>
      <c r="F3" s="1880"/>
      <c r="G3" s="1880"/>
      <c r="H3" s="1880"/>
      <c r="I3" s="1880"/>
      <c r="J3" s="1881"/>
      <c r="K3" s="28"/>
    </row>
    <row r="4" spans="2:11">
      <c r="B4" s="29" t="s">
        <v>48</v>
      </c>
      <c r="C4" s="30" t="s">
        <v>50</v>
      </c>
      <c r="D4" s="1882"/>
      <c r="E4" s="1046"/>
      <c r="F4" s="1046"/>
      <c r="G4" s="1046"/>
      <c r="H4" s="1046"/>
      <c r="I4" s="1046"/>
      <c r="J4" s="1883"/>
      <c r="K4" s="28"/>
    </row>
    <row r="5" spans="2:11">
      <c r="B5" s="31">
        <v>37987</v>
      </c>
      <c r="C5" s="32">
        <v>38138</v>
      </c>
      <c r="D5" s="1884" t="s">
        <v>51</v>
      </c>
      <c r="E5" s="956"/>
      <c r="F5" s="956"/>
      <c r="G5" s="956"/>
      <c r="H5" s="994"/>
      <c r="I5" s="994"/>
      <c r="J5" s="1885"/>
      <c r="K5" s="28"/>
    </row>
    <row r="6" spans="2:11">
      <c r="B6" s="31">
        <v>38139</v>
      </c>
      <c r="C6" s="32">
        <v>38231</v>
      </c>
      <c r="D6" s="1884" t="s">
        <v>49</v>
      </c>
      <c r="E6" s="994"/>
      <c r="F6" s="994"/>
      <c r="G6" s="994"/>
      <c r="H6" s="994"/>
      <c r="I6" s="994"/>
      <c r="J6" s="1885"/>
      <c r="K6" s="28"/>
    </row>
    <row r="7" spans="2:11" ht="13.5" thickBot="1">
      <c r="B7" s="33">
        <v>38232</v>
      </c>
      <c r="C7" s="34">
        <v>38352</v>
      </c>
      <c r="D7" s="1872" t="s">
        <v>52</v>
      </c>
      <c r="E7" s="1873"/>
      <c r="F7" s="1873"/>
      <c r="G7" s="1873"/>
      <c r="H7" s="1874"/>
      <c r="I7" s="1874"/>
      <c r="J7" s="1875"/>
      <c r="K7" s="28"/>
    </row>
    <row r="8" spans="2:11">
      <c r="B8" s="39"/>
      <c r="C8" s="1899" t="s">
        <v>68</v>
      </c>
      <c r="D8" s="1900"/>
      <c r="E8" s="1896" t="s">
        <v>76</v>
      </c>
      <c r="F8" s="1896"/>
      <c r="G8" s="1896" t="s">
        <v>77</v>
      </c>
      <c r="H8" s="1896"/>
      <c r="I8" s="1899" t="s">
        <v>78</v>
      </c>
      <c r="J8" s="1917"/>
    </row>
    <row r="9" spans="2:11">
      <c r="B9" s="46" t="s">
        <v>60</v>
      </c>
      <c r="C9" s="1903" t="s">
        <v>69</v>
      </c>
      <c r="D9" s="1918"/>
      <c r="E9" s="1919" t="s">
        <v>63</v>
      </c>
      <c r="F9" s="1920"/>
      <c r="G9" s="1919" t="s">
        <v>62</v>
      </c>
      <c r="H9" s="1919"/>
      <c r="I9" s="1916" t="s">
        <v>64</v>
      </c>
      <c r="J9" s="1887"/>
    </row>
    <row r="10" spans="2:11">
      <c r="B10" s="47" t="s">
        <v>61</v>
      </c>
      <c r="C10" s="51" t="s">
        <v>80</v>
      </c>
      <c r="D10" s="51" t="s">
        <v>81</v>
      </c>
      <c r="E10" s="72" t="s">
        <v>80</v>
      </c>
      <c r="F10" s="72" t="s">
        <v>81</v>
      </c>
      <c r="G10" s="72" t="s">
        <v>80</v>
      </c>
      <c r="H10" s="72" t="s">
        <v>81</v>
      </c>
      <c r="I10" s="73" t="s">
        <v>80</v>
      </c>
      <c r="J10" s="74" t="s">
        <v>81</v>
      </c>
    </row>
    <row r="11" spans="2:11">
      <c r="B11" s="46">
        <v>1</v>
      </c>
      <c r="C11" s="61">
        <v>38138</v>
      </c>
      <c r="D11" s="50">
        <v>18</v>
      </c>
      <c r="E11" s="61">
        <v>38017</v>
      </c>
      <c r="F11" s="50">
        <v>19</v>
      </c>
      <c r="G11" s="61">
        <f>E11</f>
        <v>38017</v>
      </c>
      <c r="H11" s="50">
        <v>19</v>
      </c>
      <c r="I11" s="64">
        <v>38017</v>
      </c>
      <c r="J11" s="52">
        <v>18</v>
      </c>
    </row>
    <row r="12" spans="2:11">
      <c r="B12" s="46">
        <v>2</v>
      </c>
      <c r="C12" s="61">
        <v>38138</v>
      </c>
      <c r="D12" s="50">
        <v>18</v>
      </c>
      <c r="E12" s="61">
        <v>38045</v>
      </c>
      <c r="F12" s="50">
        <v>19</v>
      </c>
      <c r="G12" s="61">
        <f t="shared" ref="G12:G22" si="0">E12</f>
        <v>38045</v>
      </c>
      <c r="H12" s="50">
        <v>19</v>
      </c>
      <c r="I12" s="61">
        <v>38045</v>
      </c>
      <c r="J12" s="53">
        <v>18</v>
      </c>
    </row>
    <row r="13" spans="2:11">
      <c r="B13" s="46">
        <v>3</v>
      </c>
      <c r="C13" s="61">
        <v>38138</v>
      </c>
      <c r="D13" s="50">
        <v>18</v>
      </c>
      <c r="E13" s="61">
        <v>38077</v>
      </c>
      <c r="F13" s="50">
        <v>19</v>
      </c>
      <c r="G13" s="61">
        <f t="shared" si="0"/>
        <v>38077</v>
      </c>
      <c r="H13" s="50">
        <v>19</v>
      </c>
      <c r="I13" s="61">
        <v>38077</v>
      </c>
      <c r="J13" s="53">
        <v>18</v>
      </c>
    </row>
    <row r="14" spans="2:11">
      <c r="B14" s="46">
        <v>4</v>
      </c>
      <c r="C14" s="61">
        <v>38138</v>
      </c>
      <c r="D14" s="50">
        <v>18</v>
      </c>
      <c r="E14" s="61">
        <v>38107</v>
      </c>
      <c r="F14" s="50">
        <v>19</v>
      </c>
      <c r="G14" s="61">
        <f t="shared" si="0"/>
        <v>38107</v>
      </c>
      <c r="H14" s="50">
        <v>19</v>
      </c>
      <c r="I14" s="61">
        <v>38107</v>
      </c>
      <c r="J14" s="53">
        <v>18</v>
      </c>
    </row>
    <row r="15" spans="2:11">
      <c r="B15" s="46">
        <v>5</v>
      </c>
      <c r="C15" s="61">
        <v>38138</v>
      </c>
      <c r="D15" s="50">
        <v>18</v>
      </c>
      <c r="E15" s="61">
        <v>38138</v>
      </c>
      <c r="F15" s="50">
        <v>19</v>
      </c>
      <c r="G15" s="61">
        <f t="shared" si="0"/>
        <v>38138</v>
      </c>
      <c r="H15" s="50">
        <v>19</v>
      </c>
      <c r="I15" s="61">
        <v>38138</v>
      </c>
      <c r="J15" s="53">
        <v>18</v>
      </c>
    </row>
    <row r="16" spans="2:11">
      <c r="B16" s="46">
        <v>6</v>
      </c>
      <c r="C16" s="61">
        <v>38168</v>
      </c>
      <c r="D16" s="50">
        <v>18</v>
      </c>
      <c r="E16" s="61">
        <v>38138</v>
      </c>
      <c r="F16" s="50">
        <v>19</v>
      </c>
      <c r="G16" s="61">
        <v>38168</v>
      </c>
      <c r="H16" s="50">
        <v>19</v>
      </c>
      <c r="I16" s="61">
        <v>38168</v>
      </c>
      <c r="J16" s="53">
        <v>18</v>
      </c>
    </row>
    <row r="17" spans="2:11">
      <c r="B17" s="46">
        <v>7</v>
      </c>
      <c r="C17" s="61">
        <v>38199</v>
      </c>
      <c r="D17" s="50">
        <v>18</v>
      </c>
      <c r="E17" s="61">
        <v>38138</v>
      </c>
      <c r="F17" s="50">
        <v>19</v>
      </c>
      <c r="G17" s="61">
        <v>38199</v>
      </c>
      <c r="H17" s="50">
        <v>19</v>
      </c>
      <c r="I17" s="61">
        <v>38199</v>
      </c>
      <c r="J17" s="53">
        <v>18</v>
      </c>
    </row>
    <row r="18" spans="2:11">
      <c r="B18" s="46">
        <v>8</v>
      </c>
      <c r="C18" s="61">
        <v>38230</v>
      </c>
      <c r="D18" s="50">
        <v>18</v>
      </c>
      <c r="E18" s="61">
        <v>38138</v>
      </c>
      <c r="F18" s="50">
        <v>19</v>
      </c>
      <c r="G18" s="61">
        <v>38230</v>
      </c>
      <c r="H18" s="50">
        <v>19</v>
      </c>
      <c r="I18" s="61">
        <v>38230</v>
      </c>
      <c r="J18" s="53">
        <v>18</v>
      </c>
    </row>
    <row r="19" spans="2:11">
      <c r="B19" s="46">
        <v>9</v>
      </c>
      <c r="C19" s="61" t="s">
        <v>72</v>
      </c>
      <c r="D19" s="50">
        <v>19</v>
      </c>
      <c r="E19" s="61">
        <v>38260</v>
      </c>
      <c r="F19" s="50">
        <v>19</v>
      </c>
      <c r="G19" s="61">
        <v>38260</v>
      </c>
      <c r="H19" s="50">
        <v>19</v>
      </c>
      <c r="I19" s="61">
        <v>38260</v>
      </c>
      <c r="J19" s="53">
        <v>18</v>
      </c>
    </row>
    <row r="20" spans="2:11">
      <c r="B20" s="46">
        <v>10</v>
      </c>
      <c r="C20" s="61">
        <v>38138</v>
      </c>
      <c r="D20" s="50">
        <v>19</v>
      </c>
      <c r="E20" s="61">
        <v>38291</v>
      </c>
      <c r="F20" s="50">
        <v>19</v>
      </c>
      <c r="G20" s="61">
        <f t="shared" si="0"/>
        <v>38291</v>
      </c>
      <c r="H20" s="50">
        <v>19</v>
      </c>
      <c r="I20" s="61">
        <v>38291</v>
      </c>
      <c r="J20" s="53">
        <v>18</v>
      </c>
    </row>
    <row r="21" spans="2:11">
      <c r="B21" s="46">
        <v>11</v>
      </c>
      <c r="C21" s="61">
        <v>38138</v>
      </c>
      <c r="D21" s="50">
        <v>19</v>
      </c>
      <c r="E21" s="61">
        <v>38321</v>
      </c>
      <c r="F21" s="50">
        <v>19</v>
      </c>
      <c r="G21" s="61">
        <f t="shared" si="0"/>
        <v>38321</v>
      </c>
      <c r="H21" s="50">
        <v>19</v>
      </c>
      <c r="I21" s="61">
        <v>38321</v>
      </c>
      <c r="J21" s="53">
        <v>18</v>
      </c>
    </row>
    <row r="22" spans="2:11" ht="13.5" thickBot="1">
      <c r="B22" s="48">
        <v>12</v>
      </c>
      <c r="C22" s="62">
        <v>38138</v>
      </c>
      <c r="D22" s="54">
        <v>19</v>
      </c>
      <c r="E22" s="62">
        <v>38352</v>
      </c>
      <c r="F22" s="54">
        <v>19</v>
      </c>
      <c r="G22" s="62">
        <f t="shared" si="0"/>
        <v>38352</v>
      </c>
      <c r="H22" s="54">
        <v>19</v>
      </c>
      <c r="I22" s="62">
        <v>38352</v>
      </c>
      <c r="J22" s="55">
        <v>18</v>
      </c>
    </row>
    <row r="23" spans="2:11" ht="13.5" thickBot="1">
      <c r="B23" s="59">
        <v>38231</v>
      </c>
      <c r="C23" s="70">
        <v>38260</v>
      </c>
      <c r="D23" s="71">
        <v>18</v>
      </c>
      <c r="E23" s="70">
        <v>38138</v>
      </c>
      <c r="F23" s="71">
        <v>19</v>
      </c>
      <c r="G23" s="70">
        <v>38260</v>
      </c>
      <c r="H23" s="71">
        <v>19</v>
      </c>
      <c r="I23" s="70">
        <v>38260</v>
      </c>
      <c r="J23" s="60">
        <v>18</v>
      </c>
    </row>
    <row r="24" spans="2:11" ht="13.5" thickBot="1">
      <c r="B24" s="45" t="s">
        <v>70</v>
      </c>
      <c r="C24" s="63" t="str">
        <f>IF(OR(AND(NOT(MONTH(MAX(Worksheet!M18:'Worksheet'!M23))=9),NOT(DAY(MAX(Worksheet!M18:'Worksheet'!M23))=1)),AND(NOT(ISNUMBER(Worksheet!M18)),NOT(ISNUMBER(Worksheet!M19)),NOT(ISNUMBER(Worksheet!M20)),NOT(ISNUMBER(Worksheet!M21)),NOT(ISNUMBER(Worksheet!M22)),NOT(ISNUMBER(Worksheet!M23)))),"",IF(OR(ISBLANK(Worksheet!X24),AND(MONTH(MAX(Worksheet!M18:'Worksheet'!M23))=9,DAY(MAX(Worksheet!M18:'Worksheet'!M23))=1,Worksheet!T42=Worksheet!X24)),C23,IF(AND(MONTH(MAX(Worksheet!M18:'Worksheet'!M23))=9,DAY(MAX(Worksheet!M18:'Worksheet'!M23))=1,Worksheet!T42-Worksheet!X24=1),E23,IF(AND(MONTH(MAX(Worksheet!M18:'Worksheet'!M23))=9,DAY(MAX(Worksheet!M18:'Worksheet'!M23))=1,Worksheet!T42-Worksheet!X24&gt;=2),G23,IF(AND(MONTH(MAX(Worksheet!M18:'Worksheet'!M23))=9,DAY(MAX(Worksheet!M18:'Worksheet'!M23))=1,Worksheet!T42-Worksheet!X24&lt;0),I23,"")))))</f>
        <v/>
      </c>
      <c r="D24" s="58" t="str">
        <f>IF(OR(AND(NOT(MONTH(MAX(Worksheet!M18:'Worksheet'!M23))=9),NOT(DAY(MAX(Worksheet!M18:'Worksheet'!M23))=1)),AND(NOT(ISNUMBER(Worksheet!M18)),NOT(ISNUMBER(Worksheet!M19)),NOT(ISNUMBER(Worksheet!M20)),NOT(ISNUMBER(Worksheet!M21)),NOT(ISNUMBER(Worksheet!M22)),NOT(ISNUMBER(Worksheet!M23)))),"",IF(OR(ISBLANK(Worksheet!X24),AND(MONTH(MAX(Worksheet!M18:'Worksheet'!M23))=9,DAY(MAX(Worksheet!M18:'Worksheet'!M23))=1,Worksheet!T42=Worksheet!X24)),D23,IF(AND(MONTH(MAX(Worksheet!M18:'Worksheet'!M23))=9,DAY(MAX(Worksheet!M18:'Worksheet'!M23))=1,Worksheet!T42-Worksheet!X24=1),F23,IF(AND(MONTH(MAX(Worksheet!M18:'Worksheet'!M23))=9,DAY(MAX(Worksheet!M18:'Worksheet'!M23))=1,Worksheet!T42-Worksheet!X24&gt;=2),H23,IF(AND(MONTH(MAX(Worksheet!M18:'Worksheet'!M23))=9,DAY(MAX(Worksheet!M18:'Worksheet'!M23))=1,Worksheet!T42-Worksheet!X24&lt;0),J23,"")))))</f>
        <v/>
      </c>
    </row>
    <row r="25" spans="2:11">
      <c r="B25" s="41"/>
      <c r="C25" s="68"/>
      <c r="D25" s="69"/>
    </row>
    <row r="26" spans="2:11" ht="13.5" thickBot="1">
      <c r="B26" s="41"/>
      <c r="C26" s="68"/>
      <c r="D26" s="69"/>
    </row>
    <row r="27" spans="2:11">
      <c r="B27" s="1888" t="s">
        <v>79</v>
      </c>
      <c r="C27" s="1889"/>
      <c r="D27" s="1889"/>
      <c r="E27" s="1889"/>
      <c r="F27" s="1889"/>
      <c r="G27" s="1890"/>
    </row>
    <row r="28" spans="2:11" ht="13.5" thickBot="1">
      <c r="B28" s="1891"/>
      <c r="C28" s="1892"/>
      <c r="D28" s="1892"/>
      <c r="E28" s="1892"/>
      <c r="F28" s="1892"/>
      <c r="G28" s="1893"/>
      <c r="H28" s="35"/>
      <c r="I28" s="35"/>
      <c r="J28" s="36"/>
      <c r="K28" s="28"/>
    </row>
    <row r="29" spans="2:11" ht="13.5" thickBot="1">
      <c r="B29" s="1894" t="s">
        <v>46</v>
      </c>
      <c r="C29" s="1895"/>
      <c r="D29" s="1904">
        <f>MAX(Worksheet!M18:'Worksheet'!M23)</f>
        <v>0</v>
      </c>
      <c r="E29" s="1905"/>
      <c r="F29" s="37"/>
      <c r="G29" s="37"/>
      <c r="H29" s="37"/>
      <c r="I29" s="38"/>
      <c r="J29" s="28"/>
      <c r="K29" s="28"/>
    </row>
    <row r="30" spans="2:11">
      <c r="B30" s="39"/>
      <c r="C30" s="49"/>
      <c r="D30" s="1896" t="s">
        <v>53</v>
      </c>
      <c r="E30" s="1896"/>
      <c r="F30" s="1899" t="s">
        <v>67</v>
      </c>
      <c r="G30" s="1900"/>
      <c r="H30" s="56"/>
      <c r="I30" s="41"/>
      <c r="J30" s="41"/>
      <c r="K30" s="41"/>
    </row>
    <row r="31" spans="2:11">
      <c r="B31" s="40"/>
      <c r="C31" s="50" t="s">
        <v>42</v>
      </c>
      <c r="D31" s="1898" t="s">
        <v>54</v>
      </c>
      <c r="E31" s="1898"/>
      <c r="F31" s="1901" t="s">
        <v>73</v>
      </c>
      <c r="G31" s="896"/>
      <c r="H31" s="56"/>
      <c r="I31" s="41"/>
      <c r="J31" s="41"/>
      <c r="K31" s="41"/>
    </row>
    <row r="32" spans="2:11">
      <c r="B32" s="42" t="s">
        <v>43</v>
      </c>
      <c r="C32" s="51" t="s">
        <v>44</v>
      </c>
      <c r="D32" s="1903" t="s">
        <v>75</v>
      </c>
      <c r="E32" s="1903"/>
      <c r="F32" s="1902" t="s">
        <v>74</v>
      </c>
      <c r="G32" s="1100"/>
      <c r="H32" s="56"/>
      <c r="I32" s="41"/>
      <c r="J32" s="41"/>
      <c r="K32" s="41"/>
    </row>
    <row r="33" spans="2:11">
      <c r="B33" s="40">
        <f>YEAR(D29)</f>
        <v>1900</v>
      </c>
      <c r="C33" s="50">
        <v>0</v>
      </c>
      <c r="D33" s="1897">
        <v>0</v>
      </c>
      <c r="E33" s="1897"/>
      <c r="F33" s="1906">
        <v>0</v>
      </c>
      <c r="G33" s="1907"/>
      <c r="H33" s="56"/>
      <c r="K33" s="43"/>
    </row>
    <row r="34" spans="2:11">
      <c r="B34" s="40">
        <f>B33+1</f>
        <v>1901</v>
      </c>
      <c r="C34" s="50">
        <v>1</v>
      </c>
      <c r="D34" s="1898">
        <v>0</v>
      </c>
      <c r="E34" s="1898"/>
      <c r="F34" s="1901">
        <v>0</v>
      </c>
      <c r="G34" s="896"/>
      <c r="H34" s="56"/>
      <c r="K34" s="44"/>
    </row>
    <row r="35" spans="2:11">
      <c r="B35" s="40">
        <f t="shared" ref="B35:B52" si="1">B34+1</f>
        <v>1902</v>
      </c>
      <c r="C35" s="50">
        <v>2</v>
      </c>
      <c r="D35" s="1898">
        <v>0</v>
      </c>
      <c r="E35" s="1898"/>
      <c r="F35" s="1901">
        <v>0</v>
      </c>
      <c r="G35" s="896"/>
      <c r="H35" s="56"/>
    </row>
    <row r="36" spans="2:11">
      <c r="B36" s="40">
        <f t="shared" si="1"/>
        <v>1903</v>
      </c>
      <c r="C36" s="50">
        <v>3</v>
      </c>
      <c r="D36" s="1898">
        <v>0</v>
      </c>
      <c r="E36" s="1898"/>
      <c r="F36" s="1901">
        <v>0</v>
      </c>
      <c r="G36" s="896"/>
      <c r="H36" s="56"/>
    </row>
    <row r="37" spans="2:11">
      <c r="B37" s="40">
        <f t="shared" si="1"/>
        <v>1904</v>
      </c>
      <c r="C37" s="50">
        <v>4</v>
      </c>
      <c r="D37" s="1898">
        <v>0</v>
      </c>
      <c r="E37" s="1898"/>
      <c r="F37" s="1901">
        <v>0</v>
      </c>
      <c r="G37" s="896"/>
      <c r="H37" s="56"/>
    </row>
    <row r="38" spans="2:11">
      <c r="B38" s="40">
        <f t="shared" si="1"/>
        <v>1905</v>
      </c>
      <c r="C38" s="50">
        <v>5</v>
      </c>
      <c r="D38" s="1898">
        <v>0</v>
      </c>
      <c r="E38" s="1898"/>
      <c r="F38" s="1901">
        <v>0</v>
      </c>
      <c r="G38" s="896"/>
      <c r="H38" s="56"/>
    </row>
    <row r="39" spans="2:11">
      <c r="B39" s="40">
        <f t="shared" si="1"/>
        <v>1906</v>
      </c>
      <c r="C39" s="50">
        <v>6</v>
      </c>
      <c r="D39" s="1898">
        <v>0</v>
      </c>
      <c r="E39" s="1898"/>
      <c r="F39" s="1901">
        <f>D40</f>
        <v>1</v>
      </c>
      <c r="G39" s="896"/>
      <c r="H39" s="56"/>
    </row>
    <row r="40" spans="2:11">
      <c r="B40" s="40">
        <f t="shared" si="1"/>
        <v>1907</v>
      </c>
      <c r="C40" s="50">
        <v>7</v>
      </c>
      <c r="D40" s="1898">
        <f>IF(OR(MONTH(D29)=1,MONTH(D29)=2,MONTH(D29)=3,MONTH(D29)=4,MONTH(D29)=5,MONTH(D29)=6,MONTH(D29)=7,MONTH(D29)=8,AND(MONTH(D29)=9,DAY(D29)=1)),1,0)</f>
        <v>1</v>
      </c>
      <c r="E40" s="1898"/>
      <c r="F40" s="1901">
        <f>D41</f>
        <v>2</v>
      </c>
      <c r="G40" s="896"/>
      <c r="H40" s="56"/>
    </row>
    <row r="41" spans="2:11">
      <c r="B41" s="40">
        <f t="shared" si="1"/>
        <v>1908</v>
      </c>
      <c r="C41" s="50">
        <v>8</v>
      </c>
      <c r="D41" s="1898">
        <f>IF(D40="Pre",1,D40+1)</f>
        <v>2</v>
      </c>
      <c r="E41" s="1898"/>
      <c r="F41" s="1901">
        <f t="shared" ref="F41:F50" si="2">F40+1</f>
        <v>3</v>
      </c>
      <c r="G41" s="896"/>
      <c r="H41" s="56"/>
    </row>
    <row r="42" spans="2:11">
      <c r="B42" s="40">
        <f t="shared" si="1"/>
        <v>1909</v>
      </c>
      <c r="C42" s="50">
        <v>9</v>
      </c>
      <c r="D42" s="1898">
        <f t="shared" ref="D42:D51" si="3">D41+1</f>
        <v>3</v>
      </c>
      <c r="E42" s="1898"/>
      <c r="F42" s="1901">
        <f t="shared" si="2"/>
        <v>4</v>
      </c>
      <c r="G42" s="896"/>
      <c r="H42" s="56"/>
    </row>
    <row r="43" spans="2:11">
      <c r="B43" s="40">
        <f t="shared" si="1"/>
        <v>1910</v>
      </c>
      <c r="C43" s="50">
        <v>10</v>
      </c>
      <c r="D43" s="1898">
        <f t="shared" si="3"/>
        <v>4</v>
      </c>
      <c r="E43" s="1898"/>
      <c r="F43" s="1901">
        <f t="shared" si="2"/>
        <v>5</v>
      </c>
      <c r="G43" s="896"/>
      <c r="H43" s="56"/>
    </row>
    <row r="44" spans="2:11">
      <c r="B44" s="40">
        <f t="shared" si="1"/>
        <v>1911</v>
      </c>
      <c r="C44" s="50">
        <v>11</v>
      </c>
      <c r="D44" s="1898">
        <f t="shared" si="3"/>
        <v>5</v>
      </c>
      <c r="E44" s="1898"/>
      <c r="F44" s="1901">
        <f t="shared" si="2"/>
        <v>6</v>
      </c>
      <c r="G44" s="896"/>
      <c r="H44" s="56"/>
    </row>
    <row r="45" spans="2:11">
      <c r="B45" s="40">
        <f t="shared" si="1"/>
        <v>1912</v>
      </c>
      <c r="C45" s="50">
        <v>12</v>
      </c>
      <c r="D45" s="1898">
        <f t="shared" si="3"/>
        <v>6</v>
      </c>
      <c r="E45" s="1898"/>
      <c r="F45" s="1901">
        <f t="shared" si="2"/>
        <v>7</v>
      </c>
      <c r="G45" s="896"/>
      <c r="H45" s="56"/>
    </row>
    <row r="46" spans="2:11">
      <c r="B46" s="40">
        <f t="shared" si="1"/>
        <v>1913</v>
      </c>
      <c r="C46" s="50">
        <v>13</v>
      </c>
      <c r="D46" s="1898">
        <f t="shared" si="3"/>
        <v>7</v>
      </c>
      <c r="E46" s="1898"/>
      <c r="F46" s="1901">
        <f t="shared" si="2"/>
        <v>8</v>
      </c>
      <c r="G46" s="896"/>
      <c r="H46" s="56"/>
    </row>
    <row r="47" spans="2:11">
      <c r="B47" s="40">
        <f t="shared" si="1"/>
        <v>1914</v>
      </c>
      <c r="C47" s="50">
        <v>14</v>
      </c>
      <c r="D47" s="1898">
        <f t="shared" si="3"/>
        <v>8</v>
      </c>
      <c r="E47" s="1898"/>
      <c r="F47" s="1901">
        <f t="shared" si="2"/>
        <v>9</v>
      </c>
      <c r="G47" s="896"/>
      <c r="H47" s="56"/>
    </row>
    <row r="48" spans="2:11">
      <c r="B48" s="40">
        <f t="shared" si="1"/>
        <v>1915</v>
      </c>
      <c r="C48" s="50">
        <v>15</v>
      </c>
      <c r="D48" s="1898">
        <f t="shared" si="3"/>
        <v>9</v>
      </c>
      <c r="E48" s="1898"/>
      <c r="F48" s="1901">
        <f t="shared" si="2"/>
        <v>10</v>
      </c>
      <c r="G48" s="896"/>
      <c r="H48" s="56"/>
    </row>
    <row r="49" spans="2:8">
      <c r="B49" s="40">
        <f t="shared" si="1"/>
        <v>1916</v>
      </c>
      <c r="C49" s="50">
        <v>16</v>
      </c>
      <c r="D49" s="1898">
        <f t="shared" si="3"/>
        <v>10</v>
      </c>
      <c r="E49" s="1898"/>
      <c r="F49" s="1901">
        <f t="shared" si="2"/>
        <v>11</v>
      </c>
      <c r="G49" s="896"/>
      <c r="H49" s="56"/>
    </row>
    <row r="50" spans="2:8">
      <c r="B50" s="40">
        <f t="shared" si="1"/>
        <v>1917</v>
      </c>
      <c r="C50" s="50">
        <v>17</v>
      </c>
      <c r="D50" s="1898">
        <f t="shared" si="3"/>
        <v>11</v>
      </c>
      <c r="E50" s="1898"/>
      <c r="F50" s="1901">
        <f t="shared" si="2"/>
        <v>12</v>
      </c>
      <c r="G50" s="896"/>
      <c r="H50" s="56"/>
    </row>
    <row r="51" spans="2:8">
      <c r="B51" s="40">
        <f t="shared" si="1"/>
        <v>1918</v>
      </c>
      <c r="C51" s="50">
        <v>18</v>
      </c>
      <c r="D51" s="1898">
        <f t="shared" si="3"/>
        <v>12</v>
      </c>
      <c r="E51" s="1898"/>
      <c r="F51" s="1912" t="str">
        <f>IF(F50=12,"Grad",F50+1)</f>
        <v>Grad</v>
      </c>
      <c r="G51" s="1913"/>
      <c r="H51" s="57"/>
    </row>
    <row r="52" spans="2:8" ht="13.5" thickBot="1">
      <c r="B52" s="45">
        <f t="shared" si="1"/>
        <v>1919</v>
      </c>
      <c r="C52" s="54">
        <v>19</v>
      </c>
      <c r="D52" s="1911" t="str">
        <f>IF(D51=12,"Grad",D51+1)</f>
        <v>Grad</v>
      </c>
      <c r="E52" s="1911"/>
      <c r="F52" s="1914" t="s">
        <v>45</v>
      </c>
      <c r="G52" s="1915"/>
      <c r="H52" s="56"/>
    </row>
    <row r="53" spans="2:8" ht="13.5" thickBot="1">
      <c r="B53" s="1908" t="s">
        <v>55</v>
      </c>
      <c r="C53" s="1909"/>
      <c r="D53" s="1910"/>
      <c r="E53" s="67" t="str">
        <f ca="1">Worksheet!V43</f>
        <v>Calculate</v>
      </c>
      <c r="F53" s="66" t="str">
        <f ca="1">Worksheet!Z43</f>
        <v/>
      </c>
      <c r="H53" s="41"/>
    </row>
    <row r="54" spans="2:8">
      <c r="B54" s="41"/>
      <c r="C54" s="41"/>
      <c r="D54" s="41"/>
      <c r="E54" s="41"/>
      <c r="F54" s="41"/>
      <c r="G54" s="41"/>
      <c r="H54" s="41"/>
    </row>
    <row r="73" spans="3:3">
      <c r="C73" s="65"/>
    </row>
  </sheetData>
  <sheetProtection password="CA2C" sheet="1" objects="1" scenarios="1"/>
  <mergeCells count="64">
    <mergeCell ref="I9:J9"/>
    <mergeCell ref="I8:J8"/>
    <mergeCell ref="C8:D8"/>
    <mergeCell ref="G8:H8"/>
    <mergeCell ref="E8:F8"/>
    <mergeCell ref="C9:D9"/>
    <mergeCell ref="G9:H9"/>
    <mergeCell ref="E9:F9"/>
    <mergeCell ref="D43:E43"/>
    <mergeCell ref="D44:E44"/>
    <mergeCell ref="F50:G50"/>
    <mergeCell ref="F51:G51"/>
    <mergeCell ref="F52:G52"/>
    <mergeCell ref="F43:G43"/>
    <mergeCell ref="F44:G44"/>
    <mergeCell ref="F45:G45"/>
    <mergeCell ref="F46:G46"/>
    <mergeCell ref="F49:G49"/>
    <mergeCell ref="D46:E46"/>
    <mergeCell ref="D47:E47"/>
    <mergeCell ref="D48:E48"/>
    <mergeCell ref="D45:E45"/>
    <mergeCell ref="F47:G47"/>
    <mergeCell ref="F48:G48"/>
    <mergeCell ref="B53:D53"/>
    <mergeCell ref="D52:E52"/>
    <mergeCell ref="D49:E49"/>
    <mergeCell ref="D50:E50"/>
    <mergeCell ref="D51:E51"/>
    <mergeCell ref="D42:E42"/>
    <mergeCell ref="D40:E40"/>
    <mergeCell ref="F41:G41"/>
    <mergeCell ref="F38:G38"/>
    <mergeCell ref="F39:G39"/>
    <mergeCell ref="F40:G40"/>
    <mergeCell ref="F42:G42"/>
    <mergeCell ref="D38:E38"/>
    <mergeCell ref="D35:E35"/>
    <mergeCell ref="D36:E36"/>
    <mergeCell ref="F37:G37"/>
    <mergeCell ref="D39:E39"/>
    <mergeCell ref="D41:E41"/>
    <mergeCell ref="B27:G28"/>
    <mergeCell ref="B29:C29"/>
    <mergeCell ref="D30:E30"/>
    <mergeCell ref="D33:E33"/>
    <mergeCell ref="D37:E37"/>
    <mergeCell ref="D31:E31"/>
    <mergeCell ref="F30:G30"/>
    <mergeCell ref="F31:G31"/>
    <mergeCell ref="F32:G32"/>
    <mergeCell ref="D32:E32"/>
    <mergeCell ref="D29:E29"/>
    <mergeCell ref="F34:G34"/>
    <mergeCell ref="F35:G35"/>
    <mergeCell ref="F36:G36"/>
    <mergeCell ref="F33:G33"/>
    <mergeCell ref="D34:E34"/>
    <mergeCell ref="D7:J7"/>
    <mergeCell ref="B2:J2"/>
    <mergeCell ref="D3:J4"/>
    <mergeCell ref="D5:J5"/>
    <mergeCell ref="D6:J6"/>
    <mergeCell ref="B3:C3"/>
  </mergeCells>
  <phoneticPr fontId="0" type="noConversion"/>
  <printOptions gridLines="1"/>
  <pageMargins left="0.25" right="0.25" top="0.5" bottom="0.5" header="0.5" footer="0.5"/>
  <pageSetup scale="97"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G590"/>
  <sheetViews>
    <sheetView workbookViewId="0">
      <selection sqref="A1:G1"/>
    </sheetView>
  </sheetViews>
  <sheetFormatPr defaultColWidth="12.7109375" defaultRowHeight="12.75"/>
  <cols>
    <col min="1" max="16384" width="12.7109375" style="7"/>
  </cols>
  <sheetData>
    <row r="1" spans="1:7" ht="35.25" customHeight="1">
      <c r="A1" s="1921" t="s">
        <v>265</v>
      </c>
      <c r="B1" s="1922"/>
      <c r="C1" s="1922"/>
      <c r="D1" s="1922"/>
      <c r="E1" s="1922"/>
      <c r="F1" s="1922"/>
      <c r="G1" s="1923"/>
    </row>
    <row r="2" spans="1:7" ht="13.5" thickBot="1">
      <c r="A2" s="1924" t="s">
        <v>266</v>
      </c>
      <c r="B2" s="1925"/>
      <c r="C2" s="1925"/>
      <c r="D2" s="1925"/>
      <c r="E2" s="1925"/>
      <c r="F2" s="1925"/>
      <c r="G2" s="1926"/>
    </row>
    <row r="3" spans="1:7" ht="43.5" thickBot="1">
      <c r="A3" s="336" t="s">
        <v>12</v>
      </c>
      <c r="B3" s="648" t="s">
        <v>267</v>
      </c>
      <c r="C3" s="649" t="s">
        <v>268</v>
      </c>
      <c r="D3" s="649" t="s">
        <v>269</v>
      </c>
      <c r="E3" s="649" t="s">
        <v>270</v>
      </c>
      <c r="F3" s="649" t="s">
        <v>271</v>
      </c>
      <c r="G3" s="649" t="s">
        <v>272</v>
      </c>
    </row>
    <row r="4" spans="1:7">
      <c r="A4" s="332">
        <v>750</v>
      </c>
      <c r="B4" s="650">
        <v>183.59794893122827</v>
      </c>
      <c r="C4" s="650">
        <v>268.88660798117195</v>
      </c>
      <c r="D4" s="650">
        <v>319.69842784582522</v>
      </c>
      <c r="E4" s="650">
        <v>357.10314390378676</v>
      </c>
      <c r="F4" s="650">
        <v>392.81345829416551</v>
      </c>
      <c r="G4" s="650">
        <v>426.98822916575784</v>
      </c>
    </row>
    <row r="5" spans="1:7">
      <c r="A5" s="332">
        <v>800</v>
      </c>
      <c r="B5" s="650">
        <v>193.96876786922829</v>
      </c>
      <c r="C5" s="650">
        <v>283.85712157267199</v>
      </c>
      <c r="D5" s="650">
        <v>337.27910131220023</v>
      </c>
      <c r="E5" s="650">
        <v>376.74075616572765</v>
      </c>
      <c r="F5" s="650">
        <v>414.4148317823005</v>
      </c>
      <c r="G5" s="650">
        <v>450.46892214736056</v>
      </c>
    </row>
    <row r="6" spans="1:7">
      <c r="A6" s="332">
        <v>850</v>
      </c>
      <c r="B6" s="650">
        <v>203.10939254945228</v>
      </c>
      <c r="C6" s="650">
        <v>297.05182170466395</v>
      </c>
      <c r="D6" s="650">
        <v>352.77434221288627</v>
      </c>
      <c r="E6" s="650">
        <v>394.04894025179391</v>
      </c>
      <c r="F6" s="650">
        <v>433.4538342769734</v>
      </c>
      <c r="G6" s="650">
        <v>471.16431785906997</v>
      </c>
    </row>
    <row r="7" spans="1:7">
      <c r="A7" s="332">
        <v>900</v>
      </c>
      <c r="B7" s="650">
        <v>212.13308680745226</v>
      </c>
      <c r="C7" s="650">
        <v>310.07773010616393</v>
      </c>
      <c r="D7" s="650">
        <v>368.07136197176123</v>
      </c>
      <c r="E7" s="650">
        <v>411.13571132245727</v>
      </c>
      <c r="F7" s="650">
        <v>452.24928245470306</v>
      </c>
      <c r="G7" s="650">
        <v>491.59497002826214</v>
      </c>
    </row>
    <row r="8" spans="1:7">
      <c r="A8" s="332">
        <v>950</v>
      </c>
      <c r="B8" s="650">
        <v>221.15678106545226</v>
      </c>
      <c r="C8" s="650">
        <v>323.10363850766396</v>
      </c>
      <c r="D8" s="650">
        <v>383.3683817306362</v>
      </c>
      <c r="E8" s="650">
        <v>428.22248239312063</v>
      </c>
      <c r="F8" s="650">
        <v>471.04473063243279</v>
      </c>
      <c r="G8" s="650">
        <v>512.02562219745437</v>
      </c>
    </row>
    <row r="9" spans="1:7">
      <c r="A9" s="332">
        <v>1000</v>
      </c>
      <c r="B9" s="650">
        <v>230.18047532345227</v>
      </c>
      <c r="C9" s="650">
        <v>336.12954690916393</v>
      </c>
      <c r="D9" s="650">
        <v>398.66540148951123</v>
      </c>
      <c r="E9" s="650">
        <v>445.30925346378405</v>
      </c>
      <c r="F9" s="650">
        <v>489.84017881016251</v>
      </c>
      <c r="G9" s="650">
        <v>532.45627436664654</v>
      </c>
    </row>
    <row r="10" spans="1:7">
      <c r="A10" s="332">
        <v>1050</v>
      </c>
      <c r="B10" s="650">
        <v>240.00019780145226</v>
      </c>
      <c r="C10" s="650">
        <v>350.30454019566389</v>
      </c>
      <c r="D10" s="650">
        <v>415.31185298463618</v>
      </c>
      <c r="E10" s="650">
        <v>463.90333978383865</v>
      </c>
      <c r="F10" s="650">
        <v>510.29367376222257</v>
      </c>
      <c r="G10" s="650">
        <v>554.68922337953586</v>
      </c>
    </row>
    <row r="11" spans="1:7">
      <c r="A11" s="332">
        <v>1100</v>
      </c>
      <c r="B11" s="650">
        <v>249.96279713945228</v>
      </c>
      <c r="C11" s="650">
        <v>364.68577948716393</v>
      </c>
      <c r="D11" s="650">
        <v>432.20051017601122</v>
      </c>
      <c r="E11" s="650">
        <v>482.76796986660452</v>
      </c>
      <c r="F11" s="650">
        <v>531.04476685326506</v>
      </c>
      <c r="G11" s="650">
        <v>577.24566156949902</v>
      </c>
    </row>
    <row r="12" spans="1:7">
      <c r="A12" s="332">
        <v>1150</v>
      </c>
      <c r="B12" s="650">
        <v>259.9253964774523</v>
      </c>
      <c r="C12" s="650">
        <v>379.06701877866396</v>
      </c>
      <c r="D12" s="650">
        <v>449.08916736738627</v>
      </c>
      <c r="E12" s="650">
        <v>501.63259994937039</v>
      </c>
      <c r="F12" s="650">
        <v>551.79585994430761</v>
      </c>
      <c r="G12" s="650">
        <v>599.80209975946218</v>
      </c>
    </row>
    <row r="13" spans="1:7">
      <c r="A13" s="332">
        <v>1200</v>
      </c>
      <c r="B13" s="650">
        <v>269.88799581545226</v>
      </c>
      <c r="C13" s="650">
        <v>393.44825807016394</v>
      </c>
      <c r="D13" s="650">
        <v>465.9778245587612</v>
      </c>
      <c r="E13" s="650">
        <v>520.49723003213626</v>
      </c>
      <c r="F13" s="650">
        <v>572.54695303535004</v>
      </c>
      <c r="G13" s="650">
        <v>622.35853794942534</v>
      </c>
    </row>
    <row r="14" spans="1:7">
      <c r="A14" s="332">
        <v>1250</v>
      </c>
      <c r="B14" s="650">
        <v>278.86818855999786</v>
      </c>
      <c r="C14" s="650">
        <v>406.41137104515877</v>
      </c>
      <c r="D14" s="650">
        <v>481.20110029530713</v>
      </c>
      <c r="E14" s="650">
        <v>537.50162902985812</v>
      </c>
      <c r="F14" s="650">
        <v>591.25179193284396</v>
      </c>
      <c r="G14" s="650">
        <v>642.69069783100133</v>
      </c>
    </row>
    <row r="15" spans="1:7">
      <c r="A15" s="332">
        <v>1300</v>
      </c>
      <c r="B15" s="650">
        <v>288.72056860599787</v>
      </c>
      <c r="C15" s="650">
        <v>420.63350627565876</v>
      </c>
      <c r="D15" s="650">
        <v>497.90291309243213</v>
      </c>
      <c r="E15" s="650">
        <v>556.15755392424671</v>
      </c>
      <c r="F15" s="650">
        <v>611.77330931667143</v>
      </c>
      <c r="G15" s="650">
        <v>664.99758722722174</v>
      </c>
    </row>
    <row r="16" spans="1:7">
      <c r="A16" s="332">
        <v>1350</v>
      </c>
      <c r="B16" s="650">
        <v>298.57294865199782</v>
      </c>
      <c r="C16" s="650">
        <v>434.85564150615869</v>
      </c>
      <c r="D16" s="650">
        <v>514.60472588955713</v>
      </c>
      <c r="E16" s="650">
        <v>574.8134788186353</v>
      </c>
      <c r="F16" s="650">
        <v>632.2948267004989</v>
      </c>
      <c r="G16" s="650">
        <v>687.30447662344216</v>
      </c>
    </row>
    <row r="17" spans="1:7">
      <c r="A17" s="332">
        <v>1400</v>
      </c>
      <c r="B17" s="650">
        <v>308.42532869799788</v>
      </c>
      <c r="C17" s="650">
        <v>449.07777673665873</v>
      </c>
      <c r="D17" s="650">
        <v>531.30653868668219</v>
      </c>
      <c r="E17" s="650">
        <v>593.46940371302389</v>
      </c>
      <c r="F17" s="650">
        <v>652.81634408432637</v>
      </c>
      <c r="G17" s="650">
        <v>709.61136601966268</v>
      </c>
    </row>
    <row r="18" spans="1:7">
      <c r="A18" s="332">
        <v>1450</v>
      </c>
      <c r="B18" s="650">
        <v>318.15150275602264</v>
      </c>
      <c r="C18" s="650">
        <v>463.11773074602218</v>
      </c>
      <c r="D18" s="650">
        <v>547.79440634819559</v>
      </c>
      <c r="E18" s="650">
        <v>611.88635189093452</v>
      </c>
      <c r="F18" s="650">
        <v>673.074987080028</v>
      </c>
      <c r="G18" s="650">
        <v>731.63251095599037</v>
      </c>
    </row>
    <row r="19" spans="1:7">
      <c r="A19" s="332">
        <v>1500</v>
      </c>
      <c r="B19" s="650">
        <v>327.27521081602265</v>
      </c>
      <c r="C19" s="650">
        <v>476.28801135102219</v>
      </c>
      <c r="D19" s="650">
        <v>563.26097009444561</v>
      </c>
      <c r="E19" s="650">
        <v>629.16250359549576</v>
      </c>
      <c r="F19" s="650">
        <v>692.07875395504539</v>
      </c>
      <c r="G19" s="650">
        <v>752.28960554913419</v>
      </c>
    </row>
    <row r="20" spans="1:7">
      <c r="A20" s="332">
        <v>1550</v>
      </c>
      <c r="B20" s="650">
        <v>336.39891887602266</v>
      </c>
      <c r="C20" s="650">
        <v>489.45829195602215</v>
      </c>
      <c r="D20" s="650">
        <v>578.72753384069551</v>
      </c>
      <c r="E20" s="650">
        <v>646.43865530005701</v>
      </c>
      <c r="F20" s="650">
        <v>711.08252083006278</v>
      </c>
      <c r="G20" s="650">
        <v>772.94670014227813</v>
      </c>
    </row>
    <row r="21" spans="1:7">
      <c r="A21" s="332">
        <v>1600</v>
      </c>
      <c r="B21" s="650">
        <v>345.52262693602268</v>
      </c>
      <c r="C21" s="650">
        <v>502.62857256102217</v>
      </c>
      <c r="D21" s="650">
        <v>594.19409758694565</v>
      </c>
      <c r="E21" s="650">
        <v>663.71480700461825</v>
      </c>
      <c r="F21" s="650">
        <v>730.08628770508017</v>
      </c>
      <c r="G21" s="650">
        <v>793.60379473542207</v>
      </c>
    </row>
    <row r="22" spans="1:7">
      <c r="A22" s="332">
        <v>1650</v>
      </c>
      <c r="B22" s="650">
        <v>354.64633499602269</v>
      </c>
      <c r="C22" s="650">
        <v>515.79885316602213</v>
      </c>
      <c r="D22" s="650">
        <v>609.66066133319555</v>
      </c>
      <c r="E22" s="650">
        <v>680.99095870917949</v>
      </c>
      <c r="F22" s="650">
        <v>749.09005458009756</v>
      </c>
      <c r="G22" s="650">
        <v>814.2608893285659</v>
      </c>
    </row>
    <row r="23" spans="1:7">
      <c r="A23" s="332">
        <v>1700</v>
      </c>
      <c r="B23" s="650">
        <v>363.77004305602264</v>
      </c>
      <c r="C23" s="650">
        <v>528.96913377102214</v>
      </c>
      <c r="D23" s="650">
        <v>625.12722507944557</v>
      </c>
      <c r="E23" s="650">
        <v>698.26711041374074</v>
      </c>
      <c r="F23" s="650">
        <v>768.09382145511495</v>
      </c>
      <c r="G23" s="650">
        <v>834.91798392170972</v>
      </c>
    </row>
    <row r="24" spans="1:7">
      <c r="A24" s="332">
        <v>1750</v>
      </c>
      <c r="B24" s="650">
        <v>372.89375111602266</v>
      </c>
      <c r="C24" s="650">
        <v>542.13941437602216</v>
      </c>
      <c r="D24" s="650">
        <v>640.59378882569558</v>
      </c>
      <c r="E24" s="650">
        <v>715.54326211830198</v>
      </c>
      <c r="F24" s="650">
        <v>787.09758833013234</v>
      </c>
      <c r="G24" s="650">
        <v>855.57507851485366</v>
      </c>
    </row>
    <row r="25" spans="1:7">
      <c r="A25" s="332">
        <v>1800</v>
      </c>
      <c r="B25" s="650">
        <v>382.01745917602261</v>
      </c>
      <c r="C25" s="650">
        <v>555.30969498102218</v>
      </c>
      <c r="D25" s="650">
        <v>656.0603525719456</v>
      </c>
      <c r="E25" s="650">
        <v>732.81941382286323</v>
      </c>
      <c r="F25" s="650">
        <v>806.10135520514973</v>
      </c>
      <c r="G25" s="650">
        <v>876.2321731079976</v>
      </c>
    </row>
    <row r="26" spans="1:7">
      <c r="A26" s="332">
        <v>1850</v>
      </c>
      <c r="B26" s="650">
        <v>391.14116723602262</v>
      </c>
      <c r="C26" s="650">
        <v>568.47997558602208</v>
      </c>
      <c r="D26" s="650">
        <v>671.5269163181955</v>
      </c>
      <c r="E26" s="650">
        <v>750.09556552742436</v>
      </c>
      <c r="F26" s="650">
        <v>825.10512208016689</v>
      </c>
      <c r="G26" s="650">
        <v>896.88926770114131</v>
      </c>
    </row>
    <row r="27" spans="1:7">
      <c r="A27" s="332">
        <v>1900</v>
      </c>
      <c r="B27" s="650">
        <v>400.26487529602264</v>
      </c>
      <c r="C27" s="650">
        <v>581.65025619102221</v>
      </c>
      <c r="D27" s="650">
        <v>686.99348006444552</v>
      </c>
      <c r="E27" s="650">
        <v>767.37171723198571</v>
      </c>
      <c r="F27" s="650">
        <v>844.10888895518451</v>
      </c>
      <c r="G27" s="650">
        <v>917.54636229428536</v>
      </c>
    </row>
    <row r="28" spans="1:7">
      <c r="A28" s="332">
        <v>1950</v>
      </c>
      <c r="B28" s="650">
        <v>409.27182377605021</v>
      </c>
      <c r="C28" s="650">
        <v>594.61222443073177</v>
      </c>
      <c r="D28" s="650">
        <v>702.17341716827775</v>
      </c>
      <c r="E28" s="650">
        <v>784.32770697696628</v>
      </c>
      <c r="F28" s="650">
        <v>862.76047767466309</v>
      </c>
      <c r="G28" s="650">
        <v>937.82063923235876</v>
      </c>
    </row>
    <row r="29" spans="1:7">
      <c r="A29" s="332">
        <v>2000</v>
      </c>
      <c r="B29" s="650">
        <v>418.15217269201054</v>
      </c>
      <c r="C29" s="650">
        <v>607.34832465479917</v>
      </c>
      <c r="D29" s="650">
        <v>717.0425719963539</v>
      </c>
      <c r="E29" s="650">
        <v>800.93655291992729</v>
      </c>
      <c r="F29" s="650">
        <v>881.03020821192013</v>
      </c>
      <c r="G29" s="650">
        <v>957.67983632635719</v>
      </c>
    </row>
    <row r="30" spans="1:7">
      <c r="A30" s="332">
        <v>2050</v>
      </c>
      <c r="B30" s="650">
        <v>427.03252160797092</v>
      </c>
      <c r="C30" s="650">
        <v>620.08442487886657</v>
      </c>
      <c r="D30" s="650">
        <v>731.91172682442993</v>
      </c>
      <c r="E30" s="650">
        <v>817.54539886288831</v>
      </c>
      <c r="F30" s="650">
        <v>899.29993874917727</v>
      </c>
      <c r="G30" s="650">
        <v>977.53903342035562</v>
      </c>
    </row>
    <row r="31" spans="1:7">
      <c r="A31" s="332">
        <v>2100</v>
      </c>
      <c r="B31" s="650">
        <v>435.91287052393125</v>
      </c>
      <c r="C31" s="650">
        <v>632.82052510293397</v>
      </c>
      <c r="D31" s="650">
        <v>746.78088165250597</v>
      </c>
      <c r="E31" s="650">
        <v>834.1542448058492</v>
      </c>
      <c r="F31" s="650">
        <v>917.5696692864343</v>
      </c>
      <c r="G31" s="650">
        <v>997.39823051435405</v>
      </c>
    </row>
    <row r="32" spans="1:7">
      <c r="A32" s="332">
        <v>2150</v>
      </c>
      <c r="B32" s="650">
        <v>444.79321943989157</v>
      </c>
      <c r="C32" s="650">
        <v>645.55662532700137</v>
      </c>
      <c r="D32" s="650">
        <v>761.65003648058212</v>
      </c>
      <c r="E32" s="650">
        <v>850.76309074881021</v>
      </c>
      <c r="F32" s="650">
        <v>935.83939982369134</v>
      </c>
      <c r="G32" s="650">
        <v>1017.2574276083525</v>
      </c>
    </row>
    <row r="33" spans="1:7">
      <c r="A33" s="332">
        <v>2200</v>
      </c>
      <c r="B33" s="650">
        <v>453.6735683558519</v>
      </c>
      <c r="C33" s="650">
        <v>658.29272555106877</v>
      </c>
      <c r="D33" s="650">
        <v>776.51919130865815</v>
      </c>
      <c r="E33" s="650">
        <v>867.37193669177123</v>
      </c>
      <c r="F33" s="650">
        <v>954.10913036094848</v>
      </c>
      <c r="G33" s="650">
        <v>1037.1166247023509</v>
      </c>
    </row>
    <row r="34" spans="1:7">
      <c r="A34" s="332">
        <v>2250</v>
      </c>
      <c r="B34" s="650">
        <v>462.55391727181222</v>
      </c>
      <c r="C34" s="650">
        <v>671.02882577513606</v>
      </c>
      <c r="D34" s="650">
        <v>791.3883461367343</v>
      </c>
      <c r="E34" s="650">
        <v>883.98078263473212</v>
      </c>
      <c r="F34" s="650">
        <v>972.37886089820552</v>
      </c>
      <c r="G34" s="650">
        <v>1056.9758217963495</v>
      </c>
    </row>
    <row r="35" spans="1:7">
      <c r="A35" s="332">
        <v>2300</v>
      </c>
      <c r="B35" s="650">
        <v>471.43426618777261</v>
      </c>
      <c r="C35" s="650">
        <v>683.76492599920357</v>
      </c>
      <c r="D35" s="650">
        <v>806.25750096481033</v>
      </c>
      <c r="E35" s="650">
        <v>900.58962857769313</v>
      </c>
      <c r="F35" s="650">
        <v>990.64859143546255</v>
      </c>
      <c r="G35" s="650">
        <v>1076.8350188903478</v>
      </c>
    </row>
    <row r="36" spans="1:7">
      <c r="A36" s="332">
        <v>2350</v>
      </c>
      <c r="B36" s="650">
        <v>480.31461510373293</v>
      </c>
      <c r="C36" s="650">
        <v>696.50102622327086</v>
      </c>
      <c r="D36" s="650">
        <v>821.12665579288637</v>
      </c>
      <c r="E36" s="650">
        <v>917.19847452065414</v>
      </c>
      <c r="F36" s="650">
        <v>1008.9183219727197</v>
      </c>
      <c r="G36" s="650">
        <v>1096.6942159843463</v>
      </c>
    </row>
    <row r="37" spans="1:7">
      <c r="A37" s="332">
        <v>2400</v>
      </c>
      <c r="B37" s="650">
        <v>489.19496401969326</v>
      </c>
      <c r="C37" s="650">
        <v>709.23712644733826</v>
      </c>
      <c r="D37" s="650">
        <v>835.9958106209624</v>
      </c>
      <c r="E37" s="650">
        <v>933.80732046361504</v>
      </c>
      <c r="F37" s="650">
        <v>1027.1880525099768</v>
      </c>
      <c r="G37" s="650">
        <v>1116.5534130783446</v>
      </c>
    </row>
    <row r="38" spans="1:7">
      <c r="A38" s="332">
        <v>2450</v>
      </c>
      <c r="B38" s="650">
        <v>498.07531293565359</v>
      </c>
      <c r="C38" s="650">
        <v>721.97322667140565</v>
      </c>
      <c r="D38" s="650">
        <v>850.86496544903855</v>
      </c>
      <c r="E38" s="650">
        <v>950.41616640657605</v>
      </c>
      <c r="F38" s="650">
        <v>1045.4577830472338</v>
      </c>
      <c r="G38" s="650">
        <v>1136.4126101723432</v>
      </c>
    </row>
    <row r="39" spans="1:7">
      <c r="A39" s="332">
        <v>2500</v>
      </c>
      <c r="B39" s="650">
        <v>506.95566185161397</v>
      </c>
      <c r="C39" s="650">
        <v>734.70932689547305</v>
      </c>
      <c r="D39" s="650">
        <v>865.73412027711458</v>
      </c>
      <c r="E39" s="650">
        <v>967.02501234953706</v>
      </c>
      <c r="F39" s="650">
        <v>1063.7275135844909</v>
      </c>
      <c r="G39" s="650">
        <v>1156.2718072663415</v>
      </c>
    </row>
    <row r="40" spans="1:7">
      <c r="A40" s="332">
        <v>2550</v>
      </c>
      <c r="B40" s="650">
        <v>515.83601076757418</v>
      </c>
      <c r="C40" s="650">
        <v>747.44542711954045</v>
      </c>
      <c r="D40" s="650">
        <v>880.60327510519062</v>
      </c>
      <c r="E40" s="650">
        <v>983.63385829249796</v>
      </c>
      <c r="F40" s="650">
        <v>1081.9972441217478</v>
      </c>
      <c r="G40" s="650">
        <v>1176.1310043603398</v>
      </c>
    </row>
    <row r="41" spans="1:7">
      <c r="A41" s="332">
        <v>2600</v>
      </c>
      <c r="B41" s="650">
        <v>524.71635968353462</v>
      </c>
      <c r="C41" s="650">
        <v>760.18152734360797</v>
      </c>
      <c r="D41" s="650">
        <v>895.47242993326688</v>
      </c>
      <c r="E41" s="650">
        <v>1000.2427042354591</v>
      </c>
      <c r="F41" s="650">
        <v>1100.2669746590052</v>
      </c>
      <c r="G41" s="650">
        <v>1195.9902014543386</v>
      </c>
    </row>
    <row r="42" spans="1:7">
      <c r="A42" s="332">
        <v>2650</v>
      </c>
      <c r="B42" s="650">
        <v>533.59670859949506</v>
      </c>
      <c r="C42" s="650">
        <v>772.91762756767537</v>
      </c>
      <c r="D42" s="650">
        <v>910.34158476134292</v>
      </c>
      <c r="E42" s="650">
        <v>1016.8515501784201</v>
      </c>
      <c r="F42" s="650">
        <v>1118.5367051962621</v>
      </c>
      <c r="G42" s="650">
        <v>1215.8493985483369</v>
      </c>
    </row>
    <row r="43" spans="1:7">
      <c r="A43" s="332">
        <v>2700</v>
      </c>
      <c r="B43" s="650">
        <v>542.47705751545539</v>
      </c>
      <c r="C43" s="650">
        <v>785.65372779174277</v>
      </c>
      <c r="D43" s="650">
        <v>925.21073958941906</v>
      </c>
      <c r="E43" s="650">
        <v>1033.4603961213811</v>
      </c>
      <c r="F43" s="650">
        <v>1136.8064357335193</v>
      </c>
      <c r="G43" s="650">
        <v>1235.7085956423355</v>
      </c>
    </row>
    <row r="44" spans="1:7">
      <c r="A44" s="332">
        <v>2750</v>
      </c>
      <c r="B44" s="650">
        <v>551.35740643141571</v>
      </c>
      <c r="C44" s="650">
        <v>798.38982801581017</v>
      </c>
      <c r="D44" s="650">
        <v>940.0798944174951</v>
      </c>
      <c r="E44" s="650">
        <v>1050.069242064342</v>
      </c>
      <c r="F44" s="650">
        <v>1155.0761662707764</v>
      </c>
      <c r="G44" s="650">
        <v>1255.567792736334</v>
      </c>
    </row>
    <row r="45" spans="1:7">
      <c r="A45" s="332">
        <v>2800</v>
      </c>
      <c r="B45" s="650">
        <v>560.23775534737604</v>
      </c>
      <c r="C45" s="650">
        <v>811.12592823987757</v>
      </c>
      <c r="D45" s="650">
        <v>954.94904924557113</v>
      </c>
      <c r="E45" s="650">
        <v>1066.6780880073029</v>
      </c>
      <c r="F45" s="650">
        <v>1173.3458968080336</v>
      </c>
      <c r="G45" s="650">
        <v>1275.4269898303323</v>
      </c>
    </row>
    <row r="46" spans="1:7">
      <c r="A46" s="332">
        <v>2850</v>
      </c>
      <c r="B46" s="650">
        <v>569.11810426333636</v>
      </c>
      <c r="C46" s="650">
        <v>823.86202846394497</v>
      </c>
      <c r="D46" s="650">
        <v>969.81820407364717</v>
      </c>
      <c r="E46" s="650">
        <v>1083.286933950264</v>
      </c>
      <c r="F46" s="650">
        <v>1191.6156273452905</v>
      </c>
      <c r="G46" s="650">
        <v>1295.2861869243307</v>
      </c>
    </row>
    <row r="47" spans="1:7">
      <c r="A47" s="332">
        <v>2900</v>
      </c>
      <c r="B47" s="650">
        <v>578.13345819111282</v>
      </c>
      <c r="C47" s="650">
        <v>836.92960641189154</v>
      </c>
      <c r="D47" s="650">
        <v>985.26537706215618</v>
      </c>
      <c r="E47" s="650">
        <v>1100.5414261784285</v>
      </c>
      <c r="F47" s="650">
        <v>1210.5955687962717</v>
      </c>
      <c r="G47" s="650">
        <v>1315.9173832815472</v>
      </c>
    </row>
    <row r="48" spans="1:7">
      <c r="A48" s="332">
        <v>2950</v>
      </c>
      <c r="B48" s="650">
        <v>587.16666856675749</v>
      </c>
      <c r="C48" s="650">
        <v>850.04102728549162</v>
      </c>
      <c r="D48" s="650">
        <v>1000.7890016653851</v>
      </c>
      <c r="E48" s="650">
        <v>1117.8813148602351</v>
      </c>
      <c r="F48" s="650">
        <v>1229.6694463462591</v>
      </c>
      <c r="G48" s="650">
        <v>1336.6506881783835</v>
      </c>
    </row>
    <row r="49" spans="1:7">
      <c r="A49" s="332">
        <v>3000</v>
      </c>
      <c r="B49" s="650">
        <v>596.19987894240217</v>
      </c>
      <c r="C49" s="650">
        <v>863.1524481590917</v>
      </c>
      <c r="D49" s="650">
        <v>1016.3126262686141</v>
      </c>
      <c r="E49" s="650">
        <v>1135.2212035420418</v>
      </c>
      <c r="F49" s="650">
        <v>1248.7433238962462</v>
      </c>
      <c r="G49" s="650">
        <v>1357.3839930752197</v>
      </c>
    </row>
    <row r="50" spans="1:7">
      <c r="A50" s="332">
        <v>3050</v>
      </c>
      <c r="B50" s="650">
        <v>605.23308931804684</v>
      </c>
      <c r="C50" s="650">
        <v>876.26386903269179</v>
      </c>
      <c r="D50" s="650">
        <v>1031.8362508718428</v>
      </c>
      <c r="E50" s="650">
        <v>1152.5610922238486</v>
      </c>
      <c r="F50" s="650">
        <v>1267.8172014462336</v>
      </c>
      <c r="G50" s="650">
        <v>1378.1172979720561</v>
      </c>
    </row>
    <row r="51" spans="1:7">
      <c r="A51" s="332">
        <v>3100</v>
      </c>
      <c r="B51" s="650">
        <v>614.26629969369151</v>
      </c>
      <c r="C51" s="650">
        <v>889.37528990629187</v>
      </c>
      <c r="D51" s="650">
        <v>1047.3598754750719</v>
      </c>
      <c r="E51" s="650">
        <v>1169.9009809056554</v>
      </c>
      <c r="F51" s="650">
        <v>1286.891078996221</v>
      </c>
      <c r="G51" s="650">
        <v>1398.8506028688923</v>
      </c>
    </row>
    <row r="52" spans="1:7">
      <c r="A52" s="332">
        <v>3150</v>
      </c>
      <c r="B52" s="650">
        <v>623.29951006933607</v>
      </c>
      <c r="C52" s="650">
        <v>902.48671077989195</v>
      </c>
      <c r="D52" s="650">
        <v>1062.8835000783008</v>
      </c>
      <c r="E52" s="650">
        <v>1187.2408695874619</v>
      </c>
      <c r="F52" s="650">
        <v>1305.9649565462084</v>
      </c>
      <c r="G52" s="650">
        <v>1419.5839077657286</v>
      </c>
    </row>
    <row r="53" spans="1:7">
      <c r="A53" s="332">
        <v>3200</v>
      </c>
      <c r="B53" s="650">
        <v>632.33272044498074</v>
      </c>
      <c r="C53" s="650">
        <v>915.59813165349203</v>
      </c>
      <c r="D53" s="650">
        <v>1078.4071246815297</v>
      </c>
      <c r="E53" s="650">
        <v>1204.5807582692687</v>
      </c>
      <c r="F53" s="650">
        <v>1325.0388340961958</v>
      </c>
      <c r="G53" s="650">
        <v>1440.317212662565</v>
      </c>
    </row>
    <row r="54" spans="1:7">
      <c r="A54" s="332">
        <v>3250</v>
      </c>
      <c r="B54" s="650">
        <v>641.36593082062541</v>
      </c>
      <c r="C54" s="650">
        <v>928.70955252709223</v>
      </c>
      <c r="D54" s="650">
        <v>1093.9307492847586</v>
      </c>
      <c r="E54" s="650">
        <v>1221.9206469510755</v>
      </c>
      <c r="F54" s="650">
        <v>1344.1127116461832</v>
      </c>
      <c r="G54" s="650">
        <v>1461.0505175594012</v>
      </c>
    </row>
    <row r="55" spans="1:7">
      <c r="A55" s="332">
        <v>3300</v>
      </c>
      <c r="B55" s="650">
        <v>650.39914119627008</v>
      </c>
      <c r="C55" s="650">
        <v>941.82097340069231</v>
      </c>
      <c r="D55" s="650">
        <v>1109.4543738879875</v>
      </c>
      <c r="E55" s="650">
        <v>1239.2605356328822</v>
      </c>
      <c r="F55" s="650">
        <v>1363.1865891961706</v>
      </c>
      <c r="G55" s="650">
        <v>1481.7838224562374</v>
      </c>
    </row>
    <row r="56" spans="1:7">
      <c r="A56" s="332">
        <v>3350</v>
      </c>
      <c r="B56" s="650">
        <v>659.43235157191475</v>
      </c>
      <c r="C56" s="650">
        <v>954.93239427429239</v>
      </c>
      <c r="D56" s="650">
        <v>1124.9779984912166</v>
      </c>
      <c r="E56" s="650">
        <v>1256.6004243146888</v>
      </c>
      <c r="F56" s="650">
        <v>1382.260466746158</v>
      </c>
      <c r="G56" s="650">
        <v>1502.5171273530739</v>
      </c>
    </row>
    <row r="57" spans="1:7">
      <c r="A57" s="332">
        <v>3400</v>
      </c>
      <c r="B57" s="650">
        <v>668.46556194755942</v>
      </c>
      <c r="C57" s="650">
        <v>968.04381514789247</v>
      </c>
      <c r="D57" s="650">
        <v>1140.5016230944454</v>
      </c>
      <c r="E57" s="650">
        <v>1273.9403129964955</v>
      </c>
      <c r="F57" s="650">
        <v>1401.3343442961454</v>
      </c>
      <c r="G57" s="650">
        <v>1523.2504322499101</v>
      </c>
    </row>
    <row r="58" spans="1:7">
      <c r="A58" s="332">
        <v>3450</v>
      </c>
      <c r="B58" s="650">
        <v>676.44084637442108</v>
      </c>
      <c r="C58" s="650">
        <v>979.61968976597802</v>
      </c>
      <c r="D58" s="650">
        <v>1154.2071957976323</v>
      </c>
      <c r="E58" s="650">
        <v>1289.2494377059552</v>
      </c>
      <c r="F58" s="650">
        <v>1418.1743814765509</v>
      </c>
      <c r="G58" s="650">
        <v>1541.555552665011</v>
      </c>
    </row>
    <row r="59" spans="1:7">
      <c r="A59" s="332">
        <v>3500</v>
      </c>
      <c r="B59" s="650">
        <v>684.03116811288214</v>
      </c>
      <c r="C59" s="650">
        <v>990.63680314433179</v>
      </c>
      <c r="D59" s="650">
        <v>1167.2512078803452</v>
      </c>
      <c r="E59" s="650">
        <v>1303.8195992023457</v>
      </c>
      <c r="F59" s="650">
        <v>1434.2015591225804</v>
      </c>
      <c r="G59" s="650">
        <v>1558.977094766245</v>
      </c>
    </row>
    <row r="60" spans="1:7">
      <c r="A60" s="332">
        <v>3550</v>
      </c>
      <c r="B60" s="650">
        <v>691.62148985134343</v>
      </c>
      <c r="C60" s="650">
        <v>1001.6539165226858</v>
      </c>
      <c r="D60" s="650">
        <v>1180.2952199630586</v>
      </c>
      <c r="E60" s="650">
        <v>1318.3897606987364</v>
      </c>
      <c r="F60" s="650">
        <v>1450.2287367686104</v>
      </c>
      <c r="G60" s="650">
        <v>1576.3986368674794</v>
      </c>
    </row>
    <row r="61" spans="1:7">
      <c r="A61" s="332">
        <v>3600</v>
      </c>
      <c r="B61" s="650">
        <v>699.21181158980448</v>
      </c>
      <c r="C61" s="650">
        <v>1012.6710299010397</v>
      </c>
      <c r="D61" s="650">
        <v>1193.3392320457715</v>
      </c>
      <c r="E61" s="650">
        <v>1332.9599221951269</v>
      </c>
      <c r="F61" s="650">
        <v>1466.2559144146398</v>
      </c>
      <c r="G61" s="650">
        <v>1593.8201789687134</v>
      </c>
    </row>
    <row r="62" spans="1:7">
      <c r="A62" s="332">
        <v>3650</v>
      </c>
      <c r="B62" s="650">
        <v>706.80213332826565</v>
      </c>
      <c r="C62" s="650">
        <v>1023.6881432793936</v>
      </c>
      <c r="D62" s="650">
        <v>1206.3832441284846</v>
      </c>
      <c r="E62" s="650">
        <v>1347.5300836915176</v>
      </c>
      <c r="F62" s="650">
        <v>1482.2830920606696</v>
      </c>
      <c r="G62" s="650">
        <v>1611.2417210699477</v>
      </c>
    </row>
    <row r="63" spans="1:7">
      <c r="A63" s="332">
        <v>3700</v>
      </c>
      <c r="B63" s="650">
        <v>714.39245506672682</v>
      </c>
      <c r="C63" s="650">
        <v>1034.7052566577477</v>
      </c>
      <c r="D63" s="650">
        <v>1219.427256211198</v>
      </c>
      <c r="E63" s="650">
        <v>1362.1002451879081</v>
      </c>
      <c r="F63" s="650">
        <v>1498.3102697066993</v>
      </c>
      <c r="G63" s="650">
        <v>1628.6632631711823</v>
      </c>
    </row>
    <row r="64" spans="1:7">
      <c r="A64" s="332">
        <v>3750</v>
      </c>
      <c r="B64" s="650">
        <v>721.982776805188</v>
      </c>
      <c r="C64" s="650">
        <v>1045.7223700361014</v>
      </c>
      <c r="D64" s="650">
        <v>1232.471268293911</v>
      </c>
      <c r="E64" s="650">
        <v>1376.6704066842985</v>
      </c>
      <c r="F64" s="650">
        <v>1514.3374473527288</v>
      </c>
      <c r="G64" s="650">
        <v>1646.0848052724164</v>
      </c>
    </row>
    <row r="65" spans="1:7">
      <c r="A65" s="332">
        <v>3800</v>
      </c>
      <c r="B65" s="650">
        <v>729.57309854364917</v>
      </c>
      <c r="C65" s="650">
        <v>1056.7394834144554</v>
      </c>
      <c r="D65" s="650">
        <v>1245.5152803766243</v>
      </c>
      <c r="E65" s="650">
        <v>1391.2405681806895</v>
      </c>
      <c r="F65" s="650">
        <v>1530.3646249987587</v>
      </c>
      <c r="G65" s="650">
        <v>1663.5063473736507</v>
      </c>
    </row>
    <row r="66" spans="1:7">
      <c r="A66" s="332">
        <v>3850</v>
      </c>
      <c r="B66" s="650">
        <v>737.16342028211022</v>
      </c>
      <c r="C66" s="650">
        <v>1067.7565967928092</v>
      </c>
      <c r="D66" s="650">
        <v>1258.5592924593373</v>
      </c>
      <c r="E66" s="650">
        <v>1405.81072967708</v>
      </c>
      <c r="F66" s="650">
        <v>1546.3918026447882</v>
      </c>
      <c r="G66" s="650">
        <v>1680.9278894748848</v>
      </c>
    </row>
    <row r="67" spans="1:7">
      <c r="A67" s="332">
        <v>3900</v>
      </c>
      <c r="B67" s="650">
        <v>742.59151194524679</v>
      </c>
      <c r="C67" s="650">
        <v>1075.3938437497118</v>
      </c>
      <c r="D67" s="650">
        <v>1267.2864726136929</v>
      </c>
      <c r="E67" s="650">
        <v>1415.558989909495</v>
      </c>
      <c r="F67" s="650">
        <v>1557.1148889004446</v>
      </c>
      <c r="G67" s="650">
        <v>1692.583884234783</v>
      </c>
    </row>
    <row r="68" spans="1:7">
      <c r="A68" s="332">
        <v>3950</v>
      </c>
      <c r="B68" s="650">
        <v>747.6994158664952</v>
      </c>
      <c r="C68" s="650">
        <v>1082.5305927208919</v>
      </c>
      <c r="D68" s="650">
        <v>1275.374406888054</v>
      </c>
      <c r="E68" s="650">
        <v>1424.5932124939563</v>
      </c>
      <c r="F68" s="650">
        <v>1567.0525337433521</v>
      </c>
      <c r="G68" s="650">
        <v>1703.3861041790235</v>
      </c>
    </row>
    <row r="69" spans="1:7">
      <c r="A69" s="332">
        <v>4000</v>
      </c>
      <c r="B69" s="650">
        <v>752.80731978774349</v>
      </c>
      <c r="C69" s="650">
        <v>1089.6673416920723</v>
      </c>
      <c r="D69" s="650">
        <v>1283.462341162415</v>
      </c>
      <c r="E69" s="650">
        <v>1433.6274350784176</v>
      </c>
      <c r="F69" s="650">
        <v>1576.9901785862594</v>
      </c>
      <c r="G69" s="650">
        <v>1714.1883241232638</v>
      </c>
    </row>
    <row r="70" spans="1:7">
      <c r="A70" s="332">
        <v>4050</v>
      </c>
      <c r="B70" s="650">
        <v>757.9152237089919</v>
      </c>
      <c r="C70" s="650">
        <v>1096.8040906632525</v>
      </c>
      <c r="D70" s="650">
        <v>1291.550275436776</v>
      </c>
      <c r="E70" s="650">
        <v>1442.661657662879</v>
      </c>
      <c r="F70" s="650">
        <v>1586.9278234291669</v>
      </c>
      <c r="G70" s="650">
        <v>1724.9905440675041</v>
      </c>
    </row>
    <row r="71" spans="1:7">
      <c r="A71" s="332">
        <v>4100</v>
      </c>
      <c r="B71" s="650">
        <v>763.0231276302402</v>
      </c>
      <c r="C71" s="650">
        <v>1103.9408396344327</v>
      </c>
      <c r="D71" s="650">
        <v>1299.6382097111371</v>
      </c>
      <c r="E71" s="650">
        <v>1451.69588024734</v>
      </c>
      <c r="F71" s="650">
        <v>1596.8654682720742</v>
      </c>
      <c r="G71" s="650">
        <v>1735.7927640117443</v>
      </c>
    </row>
    <row r="72" spans="1:7">
      <c r="A72" s="332">
        <v>4150</v>
      </c>
      <c r="B72" s="650">
        <v>768.1310315514886</v>
      </c>
      <c r="C72" s="650">
        <v>1111.0775886056131</v>
      </c>
      <c r="D72" s="650">
        <v>1307.7261439854981</v>
      </c>
      <c r="E72" s="650">
        <v>1460.7301028318013</v>
      </c>
      <c r="F72" s="650">
        <v>1606.8031131149817</v>
      </c>
      <c r="G72" s="650">
        <v>1746.5949839559848</v>
      </c>
    </row>
    <row r="73" spans="1:7">
      <c r="A73" s="332">
        <v>4200</v>
      </c>
      <c r="B73" s="650">
        <v>773.2389354727369</v>
      </c>
      <c r="C73" s="650">
        <v>1118.2143375767935</v>
      </c>
      <c r="D73" s="650">
        <v>1315.8140782598591</v>
      </c>
      <c r="E73" s="650">
        <v>1469.7643254162629</v>
      </c>
      <c r="F73" s="650">
        <v>1616.7407579578892</v>
      </c>
      <c r="G73" s="650">
        <v>1757.3972039002251</v>
      </c>
    </row>
    <row r="74" spans="1:7">
      <c r="A74" s="332">
        <v>4250</v>
      </c>
      <c r="B74" s="650">
        <v>778.34683939398519</v>
      </c>
      <c r="C74" s="650">
        <v>1125.3510865479736</v>
      </c>
      <c r="D74" s="650">
        <v>1323.9020125342201</v>
      </c>
      <c r="E74" s="650">
        <v>1478.7985480007239</v>
      </c>
      <c r="F74" s="650">
        <v>1626.6784028007964</v>
      </c>
      <c r="G74" s="650">
        <v>1768.1994238444654</v>
      </c>
    </row>
    <row r="75" spans="1:7">
      <c r="A75" s="332">
        <v>4300</v>
      </c>
      <c r="B75" s="650">
        <v>783.4547433152336</v>
      </c>
      <c r="C75" s="650">
        <v>1132.487835519154</v>
      </c>
      <c r="D75" s="650">
        <v>1331.9899468085812</v>
      </c>
      <c r="E75" s="650">
        <v>1487.8327705851852</v>
      </c>
      <c r="F75" s="650">
        <v>1636.616047643704</v>
      </c>
      <c r="G75" s="650">
        <v>1779.0016437887059</v>
      </c>
    </row>
    <row r="76" spans="1:7">
      <c r="A76" s="332">
        <v>4350</v>
      </c>
      <c r="B76" s="650">
        <v>788.56264723648189</v>
      </c>
      <c r="C76" s="650">
        <v>1139.6245844903342</v>
      </c>
      <c r="D76" s="650">
        <v>1340.0778810829422</v>
      </c>
      <c r="E76" s="650">
        <v>1496.8669931696465</v>
      </c>
      <c r="F76" s="650">
        <v>1646.5536924866112</v>
      </c>
      <c r="G76" s="650">
        <v>1789.8038637329462</v>
      </c>
    </row>
    <row r="77" spans="1:7">
      <c r="A77" s="332">
        <v>4400</v>
      </c>
      <c r="B77" s="650">
        <v>793.6705511577303</v>
      </c>
      <c r="C77" s="650">
        <v>1146.7613334615144</v>
      </c>
      <c r="D77" s="650">
        <v>1348.1658153573032</v>
      </c>
      <c r="E77" s="650">
        <v>1505.9012157541079</v>
      </c>
      <c r="F77" s="650">
        <v>1656.4913373295187</v>
      </c>
      <c r="G77" s="650">
        <v>1800.6060836771865</v>
      </c>
    </row>
    <row r="78" spans="1:7">
      <c r="A78" s="332">
        <v>4450</v>
      </c>
      <c r="B78" s="650">
        <v>798.77845507897871</v>
      </c>
      <c r="C78" s="650">
        <v>1153.8980824326948</v>
      </c>
      <c r="D78" s="650">
        <v>1356.2537496316643</v>
      </c>
      <c r="E78" s="650">
        <v>1514.9354383385692</v>
      </c>
      <c r="F78" s="650">
        <v>1666.428982172426</v>
      </c>
      <c r="G78" s="650">
        <v>1811.408303621427</v>
      </c>
    </row>
    <row r="79" spans="1:7">
      <c r="A79" s="332">
        <v>4500</v>
      </c>
      <c r="B79" s="650">
        <v>803.886359000227</v>
      </c>
      <c r="C79" s="650">
        <v>1161.0348314038749</v>
      </c>
      <c r="D79" s="650">
        <v>1364.3416839060253</v>
      </c>
      <c r="E79" s="650">
        <v>1523.9696609230302</v>
      </c>
      <c r="F79" s="650">
        <v>1676.3666270153335</v>
      </c>
      <c r="G79" s="650">
        <v>1822.2105235656672</v>
      </c>
    </row>
    <row r="80" spans="1:7">
      <c r="A80" s="332">
        <v>4550</v>
      </c>
      <c r="B80" s="650">
        <v>808.9942629214753</v>
      </c>
      <c r="C80" s="650">
        <v>1168.1715803750553</v>
      </c>
      <c r="D80" s="650">
        <v>1372.4296181803863</v>
      </c>
      <c r="E80" s="650">
        <v>1533.0038835074915</v>
      </c>
      <c r="F80" s="650">
        <v>1686.3042718582408</v>
      </c>
      <c r="G80" s="650">
        <v>1833.0127435099075</v>
      </c>
    </row>
    <row r="81" spans="1:7">
      <c r="A81" s="332">
        <v>4600</v>
      </c>
      <c r="B81" s="650">
        <v>814.10216684272359</v>
      </c>
      <c r="C81" s="650">
        <v>1175.3083293462355</v>
      </c>
      <c r="D81" s="650">
        <v>1380.5175524547474</v>
      </c>
      <c r="E81" s="650">
        <v>1542.0381060919528</v>
      </c>
      <c r="F81" s="650">
        <v>1696.2419167011481</v>
      </c>
      <c r="G81" s="650">
        <v>1843.8149634541478</v>
      </c>
    </row>
    <row r="82" spans="1:7">
      <c r="A82" s="332">
        <v>4650</v>
      </c>
      <c r="B82" s="650">
        <v>819.210070763972</v>
      </c>
      <c r="C82" s="650">
        <v>1182.4450783174159</v>
      </c>
      <c r="D82" s="650">
        <v>1388.6054867291084</v>
      </c>
      <c r="E82" s="650">
        <v>1551.0723286764141</v>
      </c>
      <c r="F82" s="650">
        <v>1706.1795615440556</v>
      </c>
      <c r="G82" s="650">
        <v>1854.6171833983881</v>
      </c>
    </row>
    <row r="83" spans="1:7">
      <c r="A83" s="332">
        <v>4700</v>
      </c>
      <c r="B83" s="650">
        <v>824.31797468522041</v>
      </c>
      <c r="C83" s="650">
        <v>1189.5818272885961</v>
      </c>
      <c r="D83" s="650">
        <v>1396.6934210034694</v>
      </c>
      <c r="E83" s="650">
        <v>1560.1065512608754</v>
      </c>
      <c r="F83" s="650">
        <v>1716.1172063869631</v>
      </c>
      <c r="G83" s="650">
        <v>1865.4194033426286</v>
      </c>
    </row>
    <row r="84" spans="1:7">
      <c r="A84" s="332">
        <v>4750</v>
      </c>
      <c r="B84" s="650">
        <v>829.4258786064687</v>
      </c>
      <c r="C84" s="650">
        <v>1196.7185762597765</v>
      </c>
      <c r="D84" s="650">
        <v>1404.7813552778305</v>
      </c>
      <c r="E84" s="650">
        <v>1569.1407738453368</v>
      </c>
      <c r="F84" s="650">
        <v>1726.0548512298703</v>
      </c>
      <c r="G84" s="650">
        <v>1876.2216232868689</v>
      </c>
    </row>
    <row r="85" spans="1:7">
      <c r="A85" s="332">
        <v>4800</v>
      </c>
      <c r="B85" s="650">
        <v>834.53378252771711</v>
      </c>
      <c r="C85" s="650">
        <v>1203.8553252309566</v>
      </c>
      <c r="D85" s="650">
        <v>1412.8692895521915</v>
      </c>
      <c r="E85" s="650">
        <v>1578.1749964297981</v>
      </c>
      <c r="F85" s="650">
        <v>1735.9924960727778</v>
      </c>
      <c r="G85" s="650">
        <v>1887.0238432311094</v>
      </c>
    </row>
    <row r="86" spans="1:7">
      <c r="A86" s="332">
        <v>4850</v>
      </c>
      <c r="B86" s="650">
        <v>839.6416864489654</v>
      </c>
      <c r="C86" s="650">
        <v>1210.9920742021368</v>
      </c>
      <c r="D86" s="650">
        <v>1420.9572238265525</v>
      </c>
      <c r="E86" s="650">
        <v>1587.2092190142591</v>
      </c>
      <c r="F86" s="650">
        <v>1745.9301409156851</v>
      </c>
      <c r="G86" s="650">
        <v>1897.8260631753494</v>
      </c>
    </row>
    <row r="87" spans="1:7">
      <c r="A87" s="332">
        <v>4900</v>
      </c>
      <c r="B87" s="650">
        <v>844.74959037021381</v>
      </c>
      <c r="C87" s="650">
        <v>1218.1288231733172</v>
      </c>
      <c r="D87" s="650">
        <v>1429.0451581009136</v>
      </c>
      <c r="E87" s="650">
        <v>1596.2434415987204</v>
      </c>
      <c r="F87" s="650">
        <v>1755.8677857585926</v>
      </c>
      <c r="G87" s="650">
        <v>1908.6282831195899</v>
      </c>
    </row>
    <row r="88" spans="1:7">
      <c r="A88" s="332">
        <v>4950</v>
      </c>
      <c r="B88" s="650">
        <v>849.8574942914621</v>
      </c>
      <c r="C88" s="650">
        <v>1225.2655721444976</v>
      </c>
      <c r="D88" s="650">
        <v>1437.1330923752746</v>
      </c>
      <c r="E88" s="650">
        <v>1605.2776641831817</v>
      </c>
      <c r="F88" s="650">
        <v>1765.8054306015001</v>
      </c>
      <c r="G88" s="650">
        <v>1919.4305030638302</v>
      </c>
    </row>
    <row r="89" spans="1:7">
      <c r="A89" s="332">
        <v>5000</v>
      </c>
      <c r="B89" s="650">
        <v>853.92407934276196</v>
      </c>
      <c r="C89" s="650">
        <v>1230.9965825481368</v>
      </c>
      <c r="D89" s="650">
        <v>1443.7153284419319</v>
      </c>
      <c r="E89" s="650">
        <v>1612.6300218696379</v>
      </c>
      <c r="F89" s="650">
        <v>1773.8930240566017</v>
      </c>
      <c r="G89" s="650">
        <v>1928.2217171495263</v>
      </c>
    </row>
    <row r="90" spans="1:7">
      <c r="A90" s="332">
        <v>5050</v>
      </c>
      <c r="B90" s="650">
        <v>857.6234331952636</v>
      </c>
      <c r="C90" s="650">
        <v>1236.2318456122696</v>
      </c>
      <c r="D90" s="650">
        <v>1449.7665654325131</v>
      </c>
      <c r="E90" s="650">
        <v>1619.3892535881168</v>
      </c>
      <c r="F90" s="650">
        <v>1781.3281789469286</v>
      </c>
      <c r="G90" s="650">
        <v>1936.3037305153116</v>
      </c>
    </row>
    <row r="91" spans="1:7">
      <c r="A91" s="332">
        <v>5100</v>
      </c>
      <c r="B91" s="650">
        <v>861.32278704776525</v>
      </c>
      <c r="C91" s="650">
        <v>1241.4671086764022</v>
      </c>
      <c r="D91" s="650">
        <v>1455.817802423094</v>
      </c>
      <c r="E91" s="650">
        <v>1626.1484853065958</v>
      </c>
      <c r="F91" s="650">
        <v>1788.7633338372555</v>
      </c>
      <c r="G91" s="650">
        <v>1944.3857438810967</v>
      </c>
    </row>
    <row r="92" spans="1:7">
      <c r="A92" s="332">
        <v>5150</v>
      </c>
      <c r="B92" s="650">
        <v>865.022140900267</v>
      </c>
      <c r="C92" s="650">
        <v>1246.702371740535</v>
      </c>
      <c r="D92" s="650">
        <v>1461.869039413675</v>
      </c>
      <c r="E92" s="650">
        <v>1632.9077170250748</v>
      </c>
      <c r="F92" s="650">
        <v>1796.1984887275823</v>
      </c>
      <c r="G92" s="650">
        <v>1952.467757246882</v>
      </c>
    </row>
    <row r="93" spans="1:7">
      <c r="A93" s="332">
        <v>5200</v>
      </c>
      <c r="B93" s="650">
        <v>868.72149475276865</v>
      </c>
      <c r="C93" s="650">
        <v>1251.9376348046678</v>
      </c>
      <c r="D93" s="650">
        <v>1467.9202764042559</v>
      </c>
      <c r="E93" s="650">
        <v>1639.6669487435538</v>
      </c>
      <c r="F93" s="650">
        <v>1803.6336436179092</v>
      </c>
      <c r="G93" s="650">
        <v>1960.5497706126673</v>
      </c>
    </row>
    <row r="94" spans="1:7">
      <c r="A94" s="332">
        <v>5250</v>
      </c>
      <c r="B94" s="650">
        <v>872.42084860527029</v>
      </c>
      <c r="C94" s="650">
        <v>1257.1728978688004</v>
      </c>
      <c r="D94" s="650">
        <v>1473.9715133948368</v>
      </c>
      <c r="E94" s="650">
        <v>1646.4261804620326</v>
      </c>
      <c r="F94" s="650">
        <v>1811.0687985082359</v>
      </c>
      <c r="G94" s="650">
        <v>1968.6317839784526</v>
      </c>
    </row>
    <row r="95" spans="1:7">
      <c r="A95" s="332">
        <v>5300</v>
      </c>
      <c r="B95" s="650">
        <v>876.12020245777194</v>
      </c>
      <c r="C95" s="650">
        <v>1262.4081609329332</v>
      </c>
      <c r="D95" s="650">
        <v>1480.0227503854178</v>
      </c>
      <c r="E95" s="650">
        <v>1653.1854121805115</v>
      </c>
      <c r="F95" s="650">
        <v>1818.5039533985628</v>
      </c>
      <c r="G95" s="650">
        <v>1976.7137973442379</v>
      </c>
    </row>
    <row r="96" spans="1:7">
      <c r="A96" s="332">
        <v>5350</v>
      </c>
      <c r="B96" s="650">
        <v>879.81955631027358</v>
      </c>
      <c r="C96" s="650">
        <v>1267.6434239970658</v>
      </c>
      <c r="D96" s="650">
        <v>1486.0739873759987</v>
      </c>
      <c r="E96" s="650">
        <v>1659.9446438989905</v>
      </c>
      <c r="F96" s="650">
        <v>1825.9391082888897</v>
      </c>
      <c r="G96" s="650">
        <v>1984.795810710023</v>
      </c>
    </row>
    <row r="97" spans="1:7">
      <c r="A97" s="332">
        <v>5400</v>
      </c>
      <c r="B97" s="650">
        <v>883.51891016277523</v>
      </c>
      <c r="C97" s="650">
        <v>1272.8786870611987</v>
      </c>
      <c r="D97" s="650">
        <v>1492.1252243665797</v>
      </c>
      <c r="E97" s="650">
        <v>1666.7038756174695</v>
      </c>
      <c r="F97" s="650">
        <v>1833.3742631792165</v>
      </c>
      <c r="G97" s="650">
        <v>1992.8778240758083</v>
      </c>
    </row>
    <row r="98" spans="1:7">
      <c r="A98" s="332">
        <v>5450</v>
      </c>
      <c r="B98" s="650">
        <v>887.21826401527699</v>
      </c>
      <c r="C98" s="650">
        <v>1278.1139501253315</v>
      </c>
      <c r="D98" s="650">
        <v>1498.1764613571609</v>
      </c>
      <c r="E98" s="650">
        <v>1673.4631073359485</v>
      </c>
      <c r="F98" s="650">
        <v>1840.8094180695434</v>
      </c>
      <c r="G98" s="650">
        <v>2000.9598374415937</v>
      </c>
    </row>
    <row r="99" spans="1:7">
      <c r="A99" s="332">
        <v>5500</v>
      </c>
      <c r="B99" s="650">
        <v>890.91761786777852</v>
      </c>
      <c r="C99" s="650">
        <v>1283.3492131894641</v>
      </c>
      <c r="D99" s="650">
        <v>1504.2276983477418</v>
      </c>
      <c r="E99" s="650">
        <v>1680.2223390544273</v>
      </c>
      <c r="F99" s="650">
        <v>1848.2445729598701</v>
      </c>
      <c r="G99" s="650">
        <v>2009.041850807379</v>
      </c>
    </row>
    <row r="100" spans="1:7">
      <c r="A100" s="332">
        <v>5550</v>
      </c>
      <c r="B100" s="650">
        <v>894.61697172028016</v>
      </c>
      <c r="C100" s="650">
        <v>1288.5844762535967</v>
      </c>
      <c r="D100" s="650">
        <v>1510.2789353383225</v>
      </c>
      <c r="E100" s="650">
        <v>1686.9815707729063</v>
      </c>
      <c r="F100" s="650">
        <v>1855.679727850197</v>
      </c>
      <c r="G100" s="650">
        <v>2017.1238641731641</v>
      </c>
    </row>
    <row r="101" spans="1:7">
      <c r="A101" s="332">
        <v>5600</v>
      </c>
      <c r="B101" s="650">
        <v>898.31632557278192</v>
      </c>
      <c r="C101" s="650">
        <v>1293.8197393177295</v>
      </c>
      <c r="D101" s="650">
        <v>1516.3301723289037</v>
      </c>
      <c r="E101" s="650">
        <v>1693.7408024913852</v>
      </c>
      <c r="F101" s="650">
        <v>1863.1148827405239</v>
      </c>
      <c r="G101" s="650">
        <v>2025.2058775389494</v>
      </c>
    </row>
    <row r="102" spans="1:7">
      <c r="A102" s="332">
        <v>5650</v>
      </c>
      <c r="B102" s="650">
        <v>902.01567942528357</v>
      </c>
      <c r="C102" s="650">
        <v>1299.0550023818623</v>
      </c>
      <c r="D102" s="650">
        <v>1522.3814093194846</v>
      </c>
      <c r="E102" s="650">
        <v>1700.5000342098642</v>
      </c>
      <c r="F102" s="650">
        <v>1870.5500376308507</v>
      </c>
      <c r="G102" s="650">
        <v>2033.2878909047347</v>
      </c>
    </row>
    <row r="103" spans="1:7">
      <c r="A103" s="332">
        <v>5700</v>
      </c>
      <c r="B103" s="650">
        <v>905.71503327778521</v>
      </c>
      <c r="C103" s="650">
        <v>1304.2902654459949</v>
      </c>
      <c r="D103" s="650">
        <v>1528.4326463100656</v>
      </c>
      <c r="E103" s="650">
        <v>1707.2592659283432</v>
      </c>
      <c r="F103" s="650">
        <v>1877.9851925211776</v>
      </c>
      <c r="G103" s="650">
        <v>2041.3699042705202</v>
      </c>
    </row>
    <row r="104" spans="1:7">
      <c r="A104" s="332">
        <v>5750</v>
      </c>
      <c r="B104" s="650">
        <v>909.41438713028697</v>
      </c>
      <c r="C104" s="650">
        <v>1309.5255285101277</v>
      </c>
      <c r="D104" s="650">
        <v>1534.4838833006465</v>
      </c>
      <c r="E104" s="650">
        <v>1714.0184976468222</v>
      </c>
      <c r="F104" s="650">
        <v>1885.4203474115045</v>
      </c>
      <c r="G104" s="650">
        <v>2049.4519176363056</v>
      </c>
    </row>
    <row r="105" spans="1:7">
      <c r="A105" s="332">
        <v>5800</v>
      </c>
      <c r="B105" s="650">
        <v>913.1137409827885</v>
      </c>
      <c r="C105" s="650">
        <v>1314.7607915742603</v>
      </c>
      <c r="D105" s="650">
        <v>1540.5351202912275</v>
      </c>
      <c r="E105" s="650">
        <v>1720.777729365301</v>
      </c>
      <c r="F105" s="650">
        <v>1892.8555023018312</v>
      </c>
      <c r="G105" s="650">
        <v>2057.5339310020904</v>
      </c>
    </row>
    <row r="106" spans="1:7">
      <c r="A106" s="332">
        <v>5850</v>
      </c>
      <c r="B106" s="650">
        <v>916.81309483529014</v>
      </c>
      <c r="C106" s="650">
        <v>1319.9960546383932</v>
      </c>
      <c r="D106" s="650">
        <v>1546.5863572818084</v>
      </c>
      <c r="E106" s="650">
        <v>1727.5369610837799</v>
      </c>
      <c r="F106" s="650">
        <v>1900.2906571921581</v>
      </c>
      <c r="G106" s="650">
        <v>2065.6159443678757</v>
      </c>
    </row>
    <row r="107" spans="1:7">
      <c r="A107" s="332">
        <v>5900</v>
      </c>
      <c r="B107" s="650">
        <v>920.5124486877919</v>
      </c>
      <c r="C107" s="650">
        <v>1325.2313177025258</v>
      </c>
      <c r="D107" s="650">
        <v>1552.6375942723894</v>
      </c>
      <c r="E107" s="650">
        <v>1734.2961928022589</v>
      </c>
      <c r="F107" s="650">
        <v>1907.7258120824849</v>
      </c>
      <c r="G107" s="650">
        <v>2073.697957733661</v>
      </c>
    </row>
    <row r="108" spans="1:7">
      <c r="A108" s="332">
        <v>5950</v>
      </c>
      <c r="B108" s="650">
        <v>924.21180254029355</v>
      </c>
      <c r="C108" s="650">
        <v>1330.4665807666586</v>
      </c>
      <c r="D108" s="650">
        <v>1558.6888312629706</v>
      </c>
      <c r="E108" s="650">
        <v>1741.0554245207379</v>
      </c>
      <c r="F108" s="650">
        <v>1915.1609669728118</v>
      </c>
      <c r="G108" s="650">
        <v>2081.7799710994464</v>
      </c>
    </row>
    <row r="109" spans="1:7">
      <c r="A109" s="332">
        <v>6000</v>
      </c>
      <c r="B109" s="650">
        <v>927.91115639279519</v>
      </c>
      <c r="C109" s="650">
        <v>1335.7018438307914</v>
      </c>
      <c r="D109" s="650">
        <v>1564.7400682535515</v>
      </c>
      <c r="E109" s="650">
        <v>1747.8146562392169</v>
      </c>
      <c r="F109" s="650">
        <v>1922.5961218631387</v>
      </c>
      <c r="G109" s="650">
        <v>2089.8619844652317</v>
      </c>
    </row>
    <row r="110" spans="1:7">
      <c r="A110" s="332">
        <v>6050</v>
      </c>
      <c r="B110" s="650">
        <v>931.61051024529684</v>
      </c>
      <c r="C110" s="650">
        <v>1340.937106894924</v>
      </c>
      <c r="D110" s="650">
        <v>1570.7913052441322</v>
      </c>
      <c r="E110" s="650">
        <v>1754.5738879576957</v>
      </c>
      <c r="F110" s="650">
        <v>1930.0312767534654</v>
      </c>
      <c r="G110" s="650">
        <v>2097.943997831017</v>
      </c>
    </row>
    <row r="111" spans="1:7">
      <c r="A111" s="332">
        <v>6100</v>
      </c>
      <c r="B111" s="650">
        <v>934.81118882656472</v>
      </c>
      <c r="C111" s="650">
        <v>1345.3064250721307</v>
      </c>
      <c r="D111" s="650">
        <v>1575.6322115900912</v>
      </c>
      <c r="E111" s="650">
        <v>1759.9811803461319</v>
      </c>
      <c r="F111" s="650">
        <v>1935.9792983807449</v>
      </c>
      <c r="G111" s="650">
        <v>2104.4094973398696</v>
      </c>
    </row>
    <row r="112" spans="1:7">
      <c r="A112" s="332">
        <v>6150</v>
      </c>
      <c r="B112" s="650">
        <v>937.6897465311647</v>
      </c>
      <c r="C112" s="650">
        <v>1349.1163833969176</v>
      </c>
      <c r="D112" s="650">
        <v>1579.6913010086955</v>
      </c>
      <c r="E112" s="650">
        <v>1764.5151832267129</v>
      </c>
      <c r="F112" s="650">
        <v>1940.9667015493842</v>
      </c>
      <c r="G112" s="650">
        <v>2109.8308045841804</v>
      </c>
    </row>
    <row r="113" spans="1:7">
      <c r="A113" s="332">
        <v>6200</v>
      </c>
      <c r="B113" s="650">
        <v>940.56830423576457</v>
      </c>
      <c r="C113" s="650">
        <v>1352.9263417217044</v>
      </c>
      <c r="D113" s="650">
        <v>1583.7503904272999</v>
      </c>
      <c r="E113" s="650">
        <v>1769.049186107294</v>
      </c>
      <c r="F113" s="650">
        <v>1945.9541047180232</v>
      </c>
      <c r="G113" s="650">
        <v>2115.2521118284913</v>
      </c>
    </row>
    <row r="114" spans="1:7">
      <c r="A114" s="332">
        <v>6250</v>
      </c>
      <c r="B114" s="650">
        <v>943.44686194036444</v>
      </c>
      <c r="C114" s="650">
        <v>1356.7363000464914</v>
      </c>
      <c r="D114" s="650">
        <v>1587.809479845904</v>
      </c>
      <c r="E114" s="650">
        <v>1773.5831889878748</v>
      </c>
      <c r="F114" s="650">
        <v>1950.9415078866623</v>
      </c>
      <c r="G114" s="650">
        <v>2120.6734190728021</v>
      </c>
    </row>
    <row r="115" spans="1:7">
      <c r="A115" s="332">
        <v>6300</v>
      </c>
      <c r="B115" s="650">
        <v>946.32541964496431</v>
      </c>
      <c r="C115" s="650">
        <v>1360.5462583712781</v>
      </c>
      <c r="D115" s="650">
        <v>1591.8685692645083</v>
      </c>
      <c r="E115" s="650">
        <v>1778.1171918684558</v>
      </c>
      <c r="F115" s="650">
        <v>1955.9289110553013</v>
      </c>
      <c r="G115" s="650">
        <v>2126.0947263171124</v>
      </c>
    </row>
    <row r="116" spans="1:7">
      <c r="A116" s="332">
        <v>6350</v>
      </c>
      <c r="B116" s="650">
        <v>949.20397734956418</v>
      </c>
      <c r="C116" s="650">
        <v>1364.3562166960648</v>
      </c>
      <c r="D116" s="650">
        <v>1595.9276586831124</v>
      </c>
      <c r="E116" s="650">
        <v>1782.6511947490367</v>
      </c>
      <c r="F116" s="650">
        <v>1960.9163142239404</v>
      </c>
      <c r="G116" s="650">
        <v>2131.5160335614232</v>
      </c>
    </row>
    <row r="117" spans="1:7">
      <c r="A117" s="332">
        <v>6400</v>
      </c>
      <c r="B117" s="650">
        <v>952.08253505416405</v>
      </c>
      <c r="C117" s="650">
        <v>1368.1661750208516</v>
      </c>
      <c r="D117" s="650">
        <v>1599.9867481017168</v>
      </c>
      <c r="E117" s="650">
        <v>1787.1851976296177</v>
      </c>
      <c r="F117" s="650">
        <v>1965.9037173925794</v>
      </c>
      <c r="G117" s="650">
        <v>2136.9373408057336</v>
      </c>
    </row>
    <row r="118" spans="1:7">
      <c r="A118" s="332">
        <v>6450</v>
      </c>
      <c r="B118" s="650">
        <v>954.96109275876404</v>
      </c>
      <c r="C118" s="650">
        <v>1371.9761333456386</v>
      </c>
      <c r="D118" s="650">
        <v>1604.0458375203211</v>
      </c>
      <c r="E118" s="650">
        <v>1791.7192005101988</v>
      </c>
      <c r="F118" s="650">
        <v>1970.8911205612185</v>
      </c>
      <c r="G118" s="650">
        <v>2142.3586480500444</v>
      </c>
    </row>
    <row r="119" spans="1:7">
      <c r="A119" s="332">
        <v>6500</v>
      </c>
      <c r="B119" s="650">
        <v>957.83965046336391</v>
      </c>
      <c r="C119" s="650">
        <v>1375.7860916704253</v>
      </c>
      <c r="D119" s="650">
        <v>1608.1049269389255</v>
      </c>
      <c r="E119" s="650">
        <v>1796.2532033907796</v>
      </c>
      <c r="F119" s="650">
        <v>1975.8785237298575</v>
      </c>
      <c r="G119" s="650">
        <v>2147.7799552943552</v>
      </c>
    </row>
    <row r="120" spans="1:7">
      <c r="A120" s="332">
        <v>6550</v>
      </c>
      <c r="B120" s="650">
        <v>960.71820816796378</v>
      </c>
      <c r="C120" s="650">
        <v>1379.5960499952121</v>
      </c>
      <c r="D120" s="650">
        <v>1612.1640163575296</v>
      </c>
      <c r="E120" s="650">
        <v>1800.7872062713607</v>
      </c>
      <c r="F120" s="650">
        <v>1980.8659268984966</v>
      </c>
      <c r="G120" s="650">
        <v>2153.2012625386656</v>
      </c>
    </row>
    <row r="121" spans="1:7">
      <c r="A121" s="332">
        <v>6600</v>
      </c>
      <c r="B121" s="650">
        <v>963.59676587256365</v>
      </c>
      <c r="C121" s="650">
        <v>1383.406008319999</v>
      </c>
      <c r="D121" s="650">
        <v>1616.2231057761339</v>
      </c>
      <c r="E121" s="650">
        <v>1805.3212091519415</v>
      </c>
      <c r="F121" s="650">
        <v>1985.8533300671356</v>
      </c>
      <c r="G121" s="650">
        <v>2158.6225697829764</v>
      </c>
    </row>
    <row r="122" spans="1:7">
      <c r="A122" s="332">
        <v>6650</v>
      </c>
      <c r="B122" s="650">
        <v>966.47532357716352</v>
      </c>
      <c r="C122" s="650">
        <v>1387.2159666447858</v>
      </c>
      <c r="D122" s="650">
        <v>1620.2821951947383</v>
      </c>
      <c r="E122" s="650">
        <v>1809.8552120325226</v>
      </c>
      <c r="F122" s="650">
        <v>1990.8407332357747</v>
      </c>
      <c r="G122" s="650">
        <v>2164.0438770272872</v>
      </c>
    </row>
    <row r="123" spans="1:7">
      <c r="A123" s="332">
        <v>6700</v>
      </c>
      <c r="B123" s="650">
        <v>969.35388128176351</v>
      </c>
      <c r="C123" s="650">
        <v>1391.0259249695728</v>
      </c>
      <c r="D123" s="650">
        <v>1624.3412846133424</v>
      </c>
      <c r="E123" s="650">
        <v>1814.3892149131036</v>
      </c>
      <c r="F123" s="650">
        <v>1995.8281364044137</v>
      </c>
      <c r="G123" s="650">
        <v>2169.465184271598</v>
      </c>
    </row>
    <row r="124" spans="1:7">
      <c r="A124" s="332">
        <v>6750</v>
      </c>
      <c r="B124" s="650">
        <v>972.23243898636338</v>
      </c>
      <c r="C124" s="650">
        <v>1394.8358832943595</v>
      </c>
      <c r="D124" s="650">
        <v>1628.4003740319467</v>
      </c>
      <c r="E124" s="650">
        <v>1818.9232177936847</v>
      </c>
      <c r="F124" s="650">
        <v>2000.815539573053</v>
      </c>
      <c r="G124" s="650">
        <v>2174.8864915159083</v>
      </c>
    </row>
    <row r="125" spans="1:7">
      <c r="A125" s="332">
        <v>6800</v>
      </c>
      <c r="B125" s="650">
        <v>975.11099669096325</v>
      </c>
      <c r="C125" s="650">
        <v>1398.6458416191463</v>
      </c>
      <c r="D125" s="650">
        <v>1632.4594634505509</v>
      </c>
      <c r="E125" s="650">
        <v>1823.4572206742655</v>
      </c>
      <c r="F125" s="650">
        <v>2005.8029427416918</v>
      </c>
      <c r="G125" s="650">
        <v>2180.3077987602192</v>
      </c>
    </row>
    <row r="126" spans="1:7">
      <c r="A126" s="332">
        <v>6850</v>
      </c>
      <c r="B126" s="650">
        <v>977.98955439556312</v>
      </c>
      <c r="C126" s="650">
        <v>1402.4557999439332</v>
      </c>
      <c r="D126" s="650">
        <v>1636.5185528691552</v>
      </c>
      <c r="E126" s="650">
        <v>1827.9912235548463</v>
      </c>
      <c r="F126" s="650">
        <v>2010.7903459103309</v>
      </c>
      <c r="G126" s="650">
        <v>2185.7291060045295</v>
      </c>
    </row>
    <row r="127" spans="1:7">
      <c r="A127" s="332">
        <v>6900</v>
      </c>
      <c r="B127" s="650">
        <v>980.86811210016299</v>
      </c>
      <c r="C127" s="650">
        <v>1406.26575826872</v>
      </c>
      <c r="D127" s="650">
        <v>1640.5776422877595</v>
      </c>
      <c r="E127" s="650">
        <v>1832.5252264354274</v>
      </c>
      <c r="F127" s="650">
        <v>2015.7777490789701</v>
      </c>
      <c r="G127" s="650">
        <v>2191.1504132488403</v>
      </c>
    </row>
    <row r="128" spans="1:7">
      <c r="A128" s="332">
        <v>6950</v>
      </c>
      <c r="B128" s="650">
        <v>983.74666980476297</v>
      </c>
      <c r="C128" s="650">
        <v>1410.0757165935067</v>
      </c>
      <c r="D128" s="650">
        <v>1644.6367317063639</v>
      </c>
      <c r="E128" s="650">
        <v>1837.0592293160084</v>
      </c>
      <c r="F128" s="650">
        <v>2020.7651522476092</v>
      </c>
      <c r="G128" s="650">
        <v>2196.5717204931511</v>
      </c>
    </row>
    <row r="129" spans="1:7">
      <c r="A129" s="332">
        <v>7000</v>
      </c>
      <c r="B129" s="650">
        <v>986.62522750936284</v>
      </c>
      <c r="C129" s="650">
        <v>1413.8856749182937</v>
      </c>
      <c r="D129" s="650">
        <v>1648.695821124968</v>
      </c>
      <c r="E129" s="650">
        <v>1841.5932321965895</v>
      </c>
      <c r="F129" s="650">
        <v>2025.7525554162482</v>
      </c>
      <c r="G129" s="650">
        <v>2201.9930277374619</v>
      </c>
    </row>
    <row r="130" spans="1:7">
      <c r="A130" s="332">
        <v>7050</v>
      </c>
      <c r="B130" s="650">
        <v>989.50378521396271</v>
      </c>
      <c r="C130" s="650">
        <v>1417.6956332430805</v>
      </c>
      <c r="D130" s="650">
        <v>1652.7549105435724</v>
      </c>
      <c r="E130" s="650">
        <v>1846.1272350771703</v>
      </c>
      <c r="F130" s="650">
        <v>2030.7399585848873</v>
      </c>
      <c r="G130" s="650">
        <v>2207.4143349817723</v>
      </c>
    </row>
    <row r="131" spans="1:7">
      <c r="A131" s="332">
        <v>7100</v>
      </c>
      <c r="B131" s="650">
        <v>992.38234291856259</v>
      </c>
      <c r="C131" s="650">
        <v>1421.5055915678672</v>
      </c>
      <c r="D131" s="650">
        <v>1656.8139999621765</v>
      </c>
      <c r="E131" s="650">
        <v>1850.6612379577512</v>
      </c>
      <c r="F131" s="650">
        <v>2035.7273617535263</v>
      </c>
      <c r="G131" s="650">
        <v>2212.8356422260831</v>
      </c>
    </row>
    <row r="132" spans="1:7">
      <c r="A132" s="332">
        <v>7150</v>
      </c>
      <c r="B132" s="650">
        <v>995.26090062316246</v>
      </c>
      <c r="C132" s="650">
        <v>1425.3155498926542</v>
      </c>
      <c r="D132" s="650">
        <v>1660.8730893807808</v>
      </c>
      <c r="E132" s="650">
        <v>1855.1952408383322</v>
      </c>
      <c r="F132" s="650">
        <v>2040.7147649221654</v>
      </c>
      <c r="G132" s="650">
        <v>2218.2569494703939</v>
      </c>
    </row>
    <row r="133" spans="1:7">
      <c r="A133" s="332">
        <v>7200</v>
      </c>
      <c r="B133" s="650">
        <v>997.47363188340137</v>
      </c>
      <c r="C133" s="650">
        <v>1428.1923588920952</v>
      </c>
      <c r="D133" s="650">
        <v>1663.8809129184792</v>
      </c>
      <c r="E133" s="650">
        <v>1858.5549797299416</v>
      </c>
      <c r="F133" s="650">
        <v>2044.4104777029356</v>
      </c>
      <c r="G133" s="650">
        <v>2222.2741892630911</v>
      </c>
    </row>
    <row r="134" spans="1:7">
      <c r="A134" s="332">
        <v>7250</v>
      </c>
      <c r="B134" s="650">
        <v>998.91462578995868</v>
      </c>
      <c r="C134" s="650">
        <v>1429.9933829031791</v>
      </c>
      <c r="D134" s="650">
        <v>1665.6828055944454</v>
      </c>
      <c r="E134" s="650">
        <v>1860.5676938489955</v>
      </c>
      <c r="F134" s="650">
        <v>2046.6244632338951</v>
      </c>
      <c r="G134" s="650">
        <v>2224.6807915352438</v>
      </c>
    </row>
    <row r="135" spans="1:7">
      <c r="A135" s="332">
        <v>7300</v>
      </c>
      <c r="B135" s="650">
        <v>1000.3094925423479</v>
      </c>
      <c r="C135" s="650">
        <v>1431.7367549617863</v>
      </c>
      <c r="D135" s="650">
        <v>1667.427018511406</v>
      </c>
      <c r="E135" s="650">
        <v>1862.5159796772405</v>
      </c>
      <c r="F135" s="650">
        <v>2048.7675776449646</v>
      </c>
      <c r="G135" s="650">
        <v>2227.0103569000767</v>
      </c>
    </row>
    <row r="136" spans="1:7">
      <c r="A136" s="332">
        <v>7350</v>
      </c>
      <c r="B136" s="650">
        <v>1001.7043592947372</v>
      </c>
      <c r="C136" s="650">
        <v>1433.4801270203939</v>
      </c>
      <c r="D136" s="650">
        <v>1669.1712314283666</v>
      </c>
      <c r="E136" s="650">
        <v>1864.4642655054854</v>
      </c>
      <c r="F136" s="650">
        <v>2050.9106920560339</v>
      </c>
      <c r="G136" s="650">
        <v>2229.3399222649091</v>
      </c>
    </row>
    <row r="137" spans="1:7">
      <c r="A137" s="332">
        <v>7400</v>
      </c>
      <c r="B137" s="650">
        <v>1003.0992260471264</v>
      </c>
      <c r="C137" s="650">
        <v>1435.2234990790012</v>
      </c>
      <c r="D137" s="650">
        <v>1670.9154443453269</v>
      </c>
      <c r="E137" s="650">
        <v>1866.4125513337303</v>
      </c>
      <c r="F137" s="650">
        <v>2053.0538064671036</v>
      </c>
      <c r="G137" s="650">
        <v>2231.6694876297415</v>
      </c>
    </row>
    <row r="138" spans="1:7">
      <c r="A138" s="332">
        <v>7450</v>
      </c>
      <c r="B138" s="650">
        <v>1004.4940927995158</v>
      </c>
      <c r="C138" s="650">
        <v>1436.9668711376087</v>
      </c>
      <c r="D138" s="650">
        <v>1672.6596572622877</v>
      </c>
      <c r="E138" s="650">
        <v>1868.3608371619755</v>
      </c>
      <c r="F138" s="650">
        <v>2055.1969208781729</v>
      </c>
      <c r="G138" s="650">
        <v>2233.999052994574</v>
      </c>
    </row>
    <row r="139" spans="1:7">
      <c r="A139" s="332">
        <v>7500</v>
      </c>
      <c r="B139" s="650">
        <v>1005.888959551905</v>
      </c>
      <c r="C139" s="650">
        <v>1438.710243196216</v>
      </c>
      <c r="D139" s="650">
        <v>1674.4038701792483</v>
      </c>
      <c r="E139" s="650">
        <v>1870.3091229902204</v>
      </c>
      <c r="F139" s="650">
        <v>2057.3400352892422</v>
      </c>
      <c r="G139" s="650">
        <v>2236.3286183594064</v>
      </c>
    </row>
    <row r="140" spans="1:7">
      <c r="A140" s="332">
        <v>7550</v>
      </c>
      <c r="B140" s="650">
        <v>1007.2838263042943</v>
      </c>
      <c r="C140" s="650">
        <v>1440.4536152548235</v>
      </c>
      <c r="D140" s="650">
        <v>1676.1480830962089</v>
      </c>
      <c r="E140" s="650">
        <v>1872.2574088184654</v>
      </c>
      <c r="F140" s="650">
        <v>2059.483149700312</v>
      </c>
      <c r="G140" s="650">
        <v>2238.6581837242388</v>
      </c>
    </row>
    <row r="141" spans="1:7">
      <c r="A141" s="332">
        <v>7600</v>
      </c>
      <c r="B141" s="650">
        <v>1008.6786930566836</v>
      </c>
      <c r="C141" s="650">
        <v>1442.196987313431</v>
      </c>
      <c r="D141" s="650">
        <v>1677.8922960131695</v>
      </c>
      <c r="E141" s="650">
        <v>1874.2056946467103</v>
      </c>
      <c r="F141" s="650">
        <v>2061.6262641113813</v>
      </c>
      <c r="G141" s="650">
        <v>2240.9877490890717</v>
      </c>
    </row>
    <row r="142" spans="1:7">
      <c r="A142" s="332">
        <v>7650</v>
      </c>
      <c r="B142" s="650">
        <v>1010.0735598090729</v>
      </c>
      <c r="C142" s="650">
        <v>1443.9403593720383</v>
      </c>
      <c r="D142" s="650">
        <v>1679.63650893013</v>
      </c>
      <c r="E142" s="650">
        <v>1876.1539804749552</v>
      </c>
      <c r="F142" s="650">
        <v>2063.769378522451</v>
      </c>
      <c r="G142" s="650">
        <v>2243.3173144539041</v>
      </c>
    </row>
    <row r="143" spans="1:7">
      <c r="A143" s="332">
        <v>7700</v>
      </c>
      <c r="B143" s="650">
        <v>1011.4684265614621</v>
      </c>
      <c r="C143" s="650">
        <v>1445.6837314306458</v>
      </c>
      <c r="D143" s="650">
        <v>1681.3807218470906</v>
      </c>
      <c r="E143" s="650">
        <v>1878.1022663032002</v>
      </c>
      <c r="F143" s="650">
        <v>2065.9124929335203</v>
      </c>
      <c r="G143" s="650">
        <v>2245.6468798187366</v>
      </c>
    </row>
    <row r="144" spans="1:7">
      <c r="A144" s="332">
        <v>7750</v>
      </c>
      <c r="B144" s="650">
        <v>1012.8632933138514</v>
      </c>
      <c r="C144" s="650">
        <v>1447.4271034892531</v>
      </c>
      <c r="D144" s="650">
        <v>1683.1249347640512</v>
      </c>
      <c r="E144" s="650">
        <v>1880.0505521314451</v>
      </c>
      <c r="F144" s="650">
        <v>2068.0556073445896</v>
      </c>
      <c r="G144" s="650">
        <v>2247.976445183569</v>
      </c>
    </row>
    <row r="145" spans="1:7">
      <c r="A145" s="332">
        <v>7800</v>
      </c>
      <c r="B145" s="650">
        <v>1014.2581600662406</v>
      </c>
      <c r="C145" s="650">
        <v>1449.1704755478606</v>
      </c>
      <c r="D145" s="650">
        <v>1684.8691476810118</v>
      </c>
      <c r="E145" s="650">
        <v>1881.9988379596903</v>
      </c>
      <c r="F145" s="650">
        <v>2070.1987217556593</v>
      </c>
      <c r="G145" s="650">
        <v>2250.3060105484014</v>
      </c>
    </row>
    <row r="146" spans="1:7">
      <c r="A146" s="332">
        <v>7850</v>
      </c>
      <c r="B146" s="650">
        <v>1015.65302681863</v>
      </c>
      <c r="C146" s="650">
        <v>1450.9138476064679</v>
      </c>
      <c r="D146" s="650">
        <v>1686.6133605979724</v>
      </c>
      <c r="E146" s="650">
        <v>1883.9471237879352</v>
      </c>
      <c r="F146" s="650">
        <v>2072.3418361667286</v>
      </c>
      <c r="G146" s="650">
        <v>2252.6355759132339</v>
      </c>
    </row>
    <row r="147" spans="1:7">
      <c r="A147" s="332">
        <v>7900</v>
      </c>
      <c r="B147" s="650">
        <v>1017.0478935710192</v>
      </c>
      <c r="C147" s="650">
        <v>1452.6572196650754</v>
      </c>
      <c r="D147" s="650">
        <v>1688.3575735149329</v>
      </c>
      <c r="E147" s="650">
        <v>1885.8954096161801</v>
      </c>
      <c r="F147" s="650">
        <v>2074.4849505777984</v>
      </c>
      <c r="G147" s="650">
        <v>2254.9651412780668</v>
      </c>
    </row>
    <row r="148" spans="1:7">
      <c r="A148" s="332">
        <v>7950</v>
      </c>
      <c r="B148" s="650">
        <v>1018.4427603234085</v>
      </c>
      <c r="C148" s="650">
        <v>1454.4005917236827</v>
      </c>
      <c r="D148" s="650">
        <v>1690.1017864318935</v>
      </c>
      <c r="E148" s="650">
        <v>1887.8436954444251</v>
      </c>
      <c r="F148" s="650">
        <v>2076.6280649888677</v>
      </c>
      <c r="G148" s="650">
        <v>2257.2947066428992</v>
      </c>
    </row>
    <row r="149" spans="1:7">
      <c r="A149" s="332">
        <v>8000</v>
      </c>
      <c r="B149" s="650">
        <v>1019.8376270757977</v>
      </c>
      <c r="C149" s="650">
        <v>1456.1439637822903</v>
      </c>
      <c r="D149" s="650">
        <v>1691.8459993488541</v>
      </c>
      <c r="E149" s="650">
        <v>1889.79198127267</v>
      </c>
      <c r="F149" s="650">
        <v>2078.771179399937</v>
      </c>
      <c r="G149" s="650">
        <v>2259.6242720077316</v>
      </c>
    </row>
    <row r="150" spans="1:7">
      <c r="A150" s="332">
        <v>8050</v>
      </c>
      <c r="B150" s="650">
        <v>1021.2324938281871</v>
      </c>
      <c r="C150" s="650">
        <v>1457.8873358408975</v>
      </c>
      <c r="D150" s="650">
        <v>1693.5902122658147</v>
      </c>
      <c r="E150" s="650">
        <v>1891.7402671009149</v>
      </c>
      <c r="F150" s="650">
        <v>2080.9142938110067</v>
      </c>
      <c r="G150" s="650">
        <v>2261.9538373725641</v>
      </c>
    </row>
    <row r="151" spans="1:7">
      <c r="A151" s="332">
        <v>8100</v>
      </c>
      <c r="B151" s="650">
        <v>1022.6273605805764</v>
      </c>
      <c r="C151" s="650">
        <v>1459.6307078995051</v>
      </c>
      <c r="D151" s="650">
        <v>1695.3344251827752</v>
      </c>
      <c r="E151" s="650">
        <v>1893.6885529291601</v>
      </c>
      <c r="F151" s="650">
        <v>2083.057408222076</v>
      </c>
      <c r="G151" s="650">
        <v>2264.2834027373965</v>
      </c>
    </row>
    <row r="152" spans="1:7">
      <c r="A152" s="332">
        <v>8150</v>
      </c>
      <c r="B152" s="650">
        <v>1024.0222273329657</v>
      </c>
      <c r="C152" s="650">
        <v>1461.3740799581124</v>
      </c>
      <c r="D152" s="650">
        <v>1697.0786380997358</v>
      </c>
      <c r="E152" s="650">
        <v>1895.636838757405</v>
      </c>
      <c r="F152" s="650">
        <v>2085.2005226331453</v>
      </c>
      <c r="G152" s="650">
        <v>2266.6129681022289</v>
      </c>
    </row>
    <row r="153" spans="1:7">
      <c r="A153" s="332">
        <v>8200</v>
      </c>
      <c r="B153" s="650">
        <v>1025.4170940853548</v>
      </c>
      <c r="C153" s="650">
        <v>1463.1174520167199</v>
      </c>
      <c r="D153" s="650">
        <v>1698.8228510166964</v>
      </c>
      <c r="E153" s="650">
        <v>1897.58512458565</v>
      </c>
      <c r="F153" s="650">
        <v>2087.343637044215</v>
      </c>
      <c r="G153" s="650">
        <v>2268.9425334670618</v>
      </c>
    </row>
    <row r="154" spans="1:7">
      <c r="A154" s="332">
        <v>8250</v>
      </c>
      <c r="B154" s="650">
        <v>1026.8119608377442</v>
      </c>
      <c r="C154" s="650">
        <v>1464.8608240753274</v>
      </c>
      <c r="D154" s="650">
        <v>1700.567063933657</v>
      </c>
      <c r="E154" s="650">
        <v>1899.5334104138949</v>
      </c>
      <c r="F154" s="650">
        <v>2089.4867514552843</v>
      </c>
      <c r="G154" s="650">
        <v>2271.2720988318943</v>
      </c>
    </row>
    <row r="155" spans="1:7">
      <c r="A155" s="332">
        <v>8300</v>
      </c>
      <c r="B155" s="650">
        <v>1028.2068275901333</v>
      </c>
      <c r="C155" s="650">
        <v>1466.6041961339347</v>
      </c>
      <c r="D155" s="650">
        <v>1702.3112768506176</v>
      </c>
      <c r="E155" s="650">
        <v>1901.4816962421398</v>
      </c>
      <c r="F155" s="650">
        <v>2091.6298658663541</v>
      </c>
      <c r="G155" s="650">
        <v>2273.6016641967267</v>
      </c>
    </row>
    <row r="156" spans="1:7">
      <c r="A156" s="332">
        <v>8350</v>
      </c>
      <c r="B156" s="650">
        <v>1030.1715724605451</v>
      </c>
      <c r="C156" s="650">
        <v>1469.1660785872075</v>
      </c>
      <c r="D156" s="650">
        <v>1705.0142034732417</v>
      </c>
      <c r="E156" s="650">
        <v>1904.5008652796109</v>
      </c>
      <c r="F156" s="650">
        <v>2094.950951807572</v>
      </c>
      <c r="G156" s="650">
        <v>2277.211684614831</v>
      </c>
    </row>
    <row r="157" spans="1:7">
      <c r="A157" s="332">
        <v>8400</v>
      </c>
      <c r="B157" s="650">
        <v>1035.3698384888382</v>
      </c>
      <c r="C157" s="650">
        <v>1476.4949609555808</v>
      </c>
      <c r="D157" s="650">
        <v>1713.4411991986894</v>
      </c>
      <c r="E157" s="650">
        <v>1913.9138195049361</v>
      </c>
      <c r="F157" s="650">
        <v>2105.3052014554296</v>
      </c>
      <c r="G157" s="650">
        <v>2288.4667539820521</v>
      </c>
    </row>
    <row r="158" spans="1:7">
      <c r="A158" s="332">
        <v>8450</v>
      </c>
      <c r="B158" s="650">
        <v>1040.5681045171316</v>
      </c>
      <c r="C158" s="650">
        <v>1483.8238433239544</v>
      </c>
      <c r="D158" s="650">
        <v>1721.8681949241372</v>
      </c>
      <c r="E158" s="650">
        <v>1923.3267737302613</v>
      </c>
      <c r="F158" s="650">
        <v>2115.6594511032872</v>
      </c>
      <c r="G158" s="650">
        <v>2299.7218233492731</v>
      </c>
    </row>
    <row r="159" spans="1:7">
      <c r="A159" s="332">
        <v>8500</v>
      </c>
      <c r="B159" s="650">
        <v>1045.7663705454247</v>
      </c>
      <c r="C159" s="650">
        <v>1491.152725692328</v>
      </c>
      <c r="D159" s="650">
        <v>1730.2951906495848</v>
      </c>
      <c r="E159" s="650">
        <v>1932.7397279555862</v>
      </c>
      <c r="F159" s="650">
        <v>2126.0137007511448</v>
      </c>
      <c r="G159" s="650">
        <v>2310.9768927164946</v>
      </c>
    </row>
    <row r="160" spans="1:7">
      <c r="A160" s="332">
        <v>8550</v>
      </c>
      <c r="B160" s="650">
        <v>1050.9646365737178</v>
      </c>
      <c r="C160" s="650">
        <v>1498.4816080607013</v>
      </c>
      <c r="D160" s="650">
        <v>1738.7221863750326</v>
      </c>
      <c r="E160" s="650">
        <v>1942.1526821809114</v>
      </c>
      <c r="F160" s="650">
        <v>2136.3679503990024</v>
      </c>
      <c r="G160" s="650">
        <v>2322.2319620837156</v>
      </c>
    </row>
    <row r="161" spans="1:7">
      <c r="A161" s="332">
        <v>8600</v>
      </c>
      <c r="B161" s="650">
        <v>1056.1629026020112</v>
      </c>
      <c r="C161" s="650">
        <v>1505.8104904290749</v>
      </c>
      <c r="D161" s="650">
        <v>1747.1491821004802</v>
      </c>
      <c r="E161" s="650">
        <v>1951.5656364062365</v>
      </c>
      <c r="F161" s="650">
        <v>2146.7222000468601</v>
      </c>
      <c r="G161" s="650">
        <v>2333.4870314509371</v>
      </c>
    </row>
    <row r="162" spans="1:7">
      <c r="A162" s="332">
        <v>8650</v>
      </c>
      <c r="B162" s="650">
        <v>1061.3611686303045</v>
      </c>
      <c r="C162" s="650">
        <v>1513.1393727974485</v>
      </c>
      <c r="D162" s="650">
        <v>1755.5761778259282</v>
      </c>
      <c r="E162" s="650">
        <v>1960.9785906315617</v>
      </c>
      <c r="F162" s="650">
        <v>2157.0764496947181</v>
      </c>
      <c r="G162" s="650">
        <v>2344.7421008181586</v>
      </c>
    </row>
    <row r="163" spans="1:7">
      <c r="A163" s="332">
        <v>8700</v>
      </c>
      <c r="B163" s="650">
        <v>1066.5594346585976</v>
      </c>
      <c r="C163" s="650">
        <v>1520.468255165822</v>
      </c>
      <c r="D163" s="650">
        <v>1764.0031735513758</v>
      </c>
      <c r="E163" s="650">
        <v>1970.3915448568869</v>
      </c>
      <c r="F163" s="650">
        <v>2167.4306993425753</v>
      </c>
      <c r="G163" s="650">
        <v>2355.9971701853797</v>
      </c>
    </row>
    <row r="164" spans="1:7">
      <c r="A164" s="332">
        <v>8750</v>
      </c>
      <c r="B164" s="650">
        <v>1071.757700686891</v>
      </c>
      <c r="C164" s="650">
        <v>1527.7971375341954</v>
      </c>
      <c r="D164" s="650">
        <v>1772.4301692768236</v>
      </c>
      <c r="E164" s="650">
        <v>1979.804499082212</v>
      </c>
      <c r="F164" s="650">
        <v>2177.7849489904329</v>
      </c>
      <c r="G164" s="650">
        <v>2367.2522395526007</v>
      </c>
    </row>
    <row r="165" spans="1:7">
      <c r="A165" s="332">
        <v>8800</v>
      </c>
      <c r="B165" s="650">
        <v>1076.9559667151843</v>
      </c>
      <c r="C165" s="650">
        <v>1535.1260199025692</v>
      </c>
      <c r="D165" s="650">
        <v>1780.8571650022716</v>
      </c>
      <c r="E165" s="650">
        <v>1989.2174533075372</v>
      </c>
      <c r="F165" s="650">
        <v>2188.139198638291</v>
      </c>
      <c r="G165" s="650">
        <v>2378.5073089198222</v>
      </c>
    </row>
    <row r="166" spans="1:7">
      <c r="A166" s="332">
        <v>8850</v>
      </c>
      <c r="B166" s="650">
        <v>1082.1542327434775</v>
      </c>
      <c r="C166" s="650">
        <v>1542.4549022709425</v>
      </c>
      <c r="D166" s="650">
        <v>1789.2841607277192</v>
      </c>
      <c r="E166" s="650">
        <v>1998.6304075328624</v>
      </c>
      <c r="F166" s="650">
        <v>2198.4934482861486</v>
      </c>
      <c r="G166" s="650">
        <v>2389.7623782870437</v>
      </c>
    </row>
    <row r="167" spans="1:7">
      <c r="A167" s="332">
        <v>8900</v>
      </c>
      <c r="B167" s="650">
        <v>1087.3524987717706</v>
      </c>
      <c r="C167" s="650">
        <v>1549.7837846393161</v>
      </c>
      <c r="D167" s="650">
        <v>1797.711156453167</v>
      </c>
      <c r="E167" s="650">
        <v>2008.0433617581875</v>
      </c>
      <c r="F167" s="650">
        <v>2208.8476979340062</v>
      </c>
      <c r="G167" s="650">
        <v>2401.0174476542647</v>
      </c>
    </row>
    <row r="168" spans="1:7">
      <c r="A168" s="332">
        <v>8950</v>
      </c>
      <c r="B168" s="650">
        <v>1092.5507648000639</v>
      </c>
      <c r="C168" s="650">
        <v>1557.1126670076894</v>
      </c>
      <c r="D168" s="650">
        <v>1806.1381521786145</v>
      </c>
      <c r="E168" s="650">
        <v>2017.4563159835125</v>
      </c>
      <c r="F168" s="650">
        <v>2219.2019475818638</v>
      </c>
      <c r="G168" s="650">
        <v>2412.2725170214858</v>
      </c>
    </row>
    <row r="169" spans="1:7">
      <c r="A169" s="332">
        <v>9000</v>
      </c>
      <c r="B169" s="650">
        <v>1097.749030828357</v>
      </c>
      <c r="C169" s="650">
        <v>1564.441549376063</v>
      </c>
      <c r="D169" s="650">
        <v>1814.5651479040623</v>
      </c>
      <c r="E169" s="650">
        <v>2026.8692702088376</v>
      </c>
      <c r="F169" s="650">
        <v>2229.5561972297214</v>
      </c>
      <c r="G169" s="650">
        <v>2423.5275863887073</v>
      </c>
    </row>
    <row r="170" spans="1:7">
      <c r="A170" s="332">
        <v>9050</v>
      </c>
      <c r="B170" s="650">
        <v>1102.9472968566504</v>
      </c>
      <c r="C170" s="650">
        <v>1571.7704317444366</v>
      </c>
      <c r="D170" s="650">
        <v>1822.9921436295101</v>
      </c>
      <c r="E170" s="650">
        <v>2036.282224434163</v>
      </c>
      <c r="F170" s="650">
        <v>2239.910446877579</v>
      </c>
      <c r="G170" s="650">
        <v>2434.7826557559288</v>
      </c>
    </row>
    <row r="171" spans="1:7">
      <c r="A171" s="332">
        <v>9100</v>
      </c>
      <c r="B171" s="650">
        <v>1106.333016527627</v>
      </c>
      <c r="C171" s="650">
        <v>1576.58973210061</v>
      </c>
      <c r="D171" s="650">
        <v>1828.599296420477</v>
      </c>
      <c r="E171" s="650">
        <v>2042.5454141016728</v>
      </c>
      <c r="F171" s="650">
        <v>2246.7999555118404</v>
      </c>
      <c r="G171" s="650">
        <v>2442.27155164137</v>
      </c>
    </row>
    <row r="172" spans="1:7">
      <c r="A172" s="332">
        <v>9150</v>
      </c>
      <c r="B172" s="650">
        <v>1109.6590561880919</v>
      </c>
      <c r="C172" s="650">
        <v>1581.3264018083244</v>
      </c>
      <c r="D172" s="650">
        <v>1834.1136028931737</v>
      </c>
      <c r="E172" s="650">
        <v>2048.7048944316753</v>
      </c>
      <c r="F172" s="650">
        <v>2253.5753838748428</v>
      </c>
      <c r="G172" s="650">
        <v>2449.6364422719539</v>
      </c>
    </row>
    <row r="173" spans="1:7">
      <c r="A173" s="332">
        <v>9200</v>
      </c>
      <c r="B173" s="650">
        <v>1112.9850958485567</v>
      </c>
      <c r="C173" s="650">
        <v>1586.0630715160389</v>
      </c>
      <c r="D173" s="650">
        <v>1839.6279093658707</v>
      </c>
      <c r="E173" s="650">
        <v>2054.8643747616779</v>
      </c>
      <c r="F173" s="650">
        <v>2260.3508122378457</v>
      </c>
      <c r="G173" s="650">
        <v>2457.0013329025378</v>
      </c>
    </row>
    <row r="174" spans="1:7">
      <c r="A174" s="332">
        <v>9250</v>
      </c>
      <c r="B174" s="650">
        <v>1116.3111355090216</v>
      </c>
      <c r="C174" s="650">
        <v>1590.7997412237532</v>
      </c>
      <c r="D174" s="650">
        <v>1845.1422158385676</v>
      </c>
      <c r="E174" s="650">
        <v>2061.0238550916802</v>
      </c>
      <c r="F174" s="650">
        <v>2267.1262406008486</v>
      </c>
      <c r="G174" s="650">
        <v>2464.3662235331221</v>
      </c>
    </row>
    <row r="175" spans="1:7">
      <c r="A175" s="332">
        <v>9300</v>
      </c>
      <c r="B175" s="650">
        <v>1119.6371751694865</v>
      </c>
      <c r="C175" s="650">
        <v>1595.5364109314676</v>
      </c>
      <c r="D175" s="650">
        <v>1850.6565223112646</v>
      </c>
      <c r="E175" s="650">
        <v>2067.1833354216828</v>
      </c>
      <c r="F175" s="650">
        <v>2273.9016689638511</v>
      </c>
      <c r="G175" s="650">
        <v>2471.731114163706</v>
      </c>
    </row>
    <row r="176" spans="1:7">
      <c r="A176" s="332">
        <v>9350</v>
      </c>
      <c r="B176" s="650">
        <v>1122.9632148299513</v>
      </c>
      <c r="C176" s="650">
        <v>1600.2730806391819</v>
      </c>
      <c r="D176" s="650">
        <v>1856.1708287839615</v>
      </c>
      <c r="E176" s="650">
        <v>2073.3428157516851</v>
      </c>
      <c r="F176" s="650">
        <v>2280.677097326854</v>
      </c>
      <c r="G176" s="650">
        <v>2479.0960047942899</v>
      </c>
    </row>
    <row r="177" spans="1:7">
      <c r="A177" s="332">
        <v>9400</v>
      </c>
      <c r="B177" s="650">
        <v>1126.2892544904164</v>
      </c>
      <c r="C177" s="650">
        <v>1605.0097503468965</v>
      </c>
      <c r="D177" s="650">
        <v>1861.6851352566584</v>
      </c>
      <c r="E177" s="650">
        <v>2079.5022960816877</v>
      </c>
      <c r="F177" s="650">
        <v>2287.4525256898569</v>
      </c>
      <c r="G177" s="650">
        <v>2486.4608954248738</v>
      </c>
    </row>
    <row r="178" spans="1:7">
      <c r="A178" s="332">
        <v>9450</v>
      </c>
      <c r="B178" s="650">
        <v>1129.6152941508813</v>
      </c>
      <c r="C178" s="650">
        <v>1609.746420054611</v>
      </c>
      <c r="D178" s="650">
        <v>1867.1994417293554</v>
      </c>
      <c r="E178" s="650">
        <v>2085.6617764116904</v>
      </c>
      <c r="F178" s="650">
        <v>2294.2279540528593</v>
      </c>
      <c r="G178" s="650">
        <v>2493.8257860554577</v>
      </c>
    </row>
    <row r="179" spans="1:7">
      <c r="A179" s="332">
        <v>9500</v>
      </c>
      <c r="B179" s="650">
        <v>1132.9413338113461</v>
      </c>
      <c r="C179" s="650">
        <v>1614.4830897623253</v>
      </c>
      <c r="D179" s="650">
        <v>1872.7137482020523</v>
      </c>
      <c r="E179" s="650">
        <v>2091.8212567416927</v>
      </c>
      <c r="F179" s="650">
        <v>2301.0033824158622</v>
      </c>
      <c r="G179" s="650">
        <v>2501.190676686042</v>
      </c>
    </row>
    <row r="180" spans="1:7">
      <c r="A180" s="332">
        <v>9550</v>
      </c>
      <c r="B180" s="650">
        <v>1136.267373471811</v>
      </c>
      <c r="C180" s="650">
        <v>1619.2197594700397</v>
      </c>
      <c r="D180" s="650">
        <v>1878.2280546747493</v>
      </c>
      <c r="E180" s="650">
        <v>2097.9807370716953</v>
      </c>
      <c r="F180" s="650">
        <v>2307.7788107788647</v>
      </c>
      <c r="G180" s="650">
        <v>2508.5555673166259</v>
      </c>
    </row>
    <row r="181" spans="1:7">
      <c r="A181" s="332">
        <v>9600</v>
      </c>
      <c r="B181" s="650">
        <v>1139.5934131322761</v>
      </c>
      <c r="C181" s="650">
        <v>1623.9564291777542</v>
      </c>
      <c r="D181" s="650">
        <v>1883.7423611474462</v>
      </c>
      <c r="E181" s="650">
        <v>2104.1402174016976</v>
      </c>
      <c r="F181" s="650">
        <v>2314.5542391418676</v>
      </c>
      <c r="G181" s="650">
        <v>2515.9204579472098</v>
      </c>
    </row>
    <row r="182" spans="1:7">
      <c r="A182" s="332">
        <v>9650</v>
      </c>
      <c r="B182" s="650">
        <v>1142.9194527927409</v>
      </c>
      <c r="C182" s="650">
        <v>1628.6930988854685</v>
      </c>
      <c r="D182" s="650">
        <v>1889.2566676201432</v>
      </c>
      <c r="E182" s="650">
        <v>2110.2996977317002</v>
      </c>
      <c r="F182" s="650">
        <v>2321.3296675048705</v>
      </c>
      <c r="G182" s="650">
        <v>2523.2853485777937</v>
      </c>
    </row>
    <row r="183" spans="1:7">
      <c r="A183" s="332">
        <v>9700</v>
      </c>
      <c r="B183" s="650">
        <v>1146.2454924532058</v>
      </c>
      <c r="C183" s="650">
        <v>1633.4297685931831</v>
      </c>
      <c r="D183" s="650">
        <v>1894.7709740928401</v>
      </c>
      <c r="E183" s="650">
        <v>2116.4591780617025</v>
      </c>
      <c r="F183" s="650">
        <v>2328.1050958678729</v>
      </c>
      <c r="G183" s="650">
        <v>2530.6502392083776</v>
      </c>
    </row>
    <row r="184" spans="1:7">
      <c r="A184" s="332">
        <v>9750</v>
      </c>
      <c r="B184" s="650">
        <v>1149.5715321136706</v>
      </c>
      <c r="C184" s="650">
        <v>1638.1664383008974</v>
      </c>
      <c r="D184" s="650">
        <v>1900.2852805655371</v>
      </c>
      <c r="E184" s="650">
        <v>2122.6186583917051</v>
      </c>
      <c r="F184" s="650">
        <v>2334.8805242308758</v>
      </c>
      <c r="G184" s="650">
        <v>2538.0151298389615</v>
      </c>
    </row>
    <row r="185" spans="1:7">
      <c r="A185" s="332">
        <v>9800</v>
      </c>
      <c r="B185" s="650">
        <v>1152.8975717741355</v>
      </c>
      <c r="C185" s="650">
        <v>1642.9031080086118</v>
      </c>
      <c r="D185" s="650">
        <v>1905.799587038234</v>
      </c>
      <c r="E185" s="650">
        <v>2128.7781387217074</v>
      </c>
      <c r="F185" s="650">
        <v>2341.6559525938783</v>
      </c>
      <c r="G185" s="650">
        <v>2545.3800204695458</v>
      </c>
    </row>
    <row r="186" spans="1:7">
      <c r="A186" s="332">
        <v>9850</v>
      </c>
      <c r="B186" s="650">
        <v>1156.2236114346003</v>
      </c>
      <c r="C186" s="650">
        <v>1647.6397777163261</v>
      </c>
      <c r="D186" s="650">
        <v>1911.3138935109309</v>
      </c>
      <c r="E186" s="650">
        <v>2134.93761905171</v>
      </c>
      <c r="F186" s="650">
        <v>2348.4313809568812</v>
      </c>
      <c r="G186" s="650">
        <v>2552.7449111001297</v>
      </c>
    </row>
    <row r="187" spans="1:7">
      <c r="A187" s="332">
        <v>9900</v>
      </c>
      <c r="B187" s="650">
        <v>1159.5496510950654</v>
      </c>
      <c r="C187" s="650">
        <v>1652.3764474240409</v>
      </c>
      <c r="D187" s="650">
        <v>1916.8281999836281</v>
      </c>
      <c r="E187" s="650">
        <v>2141.0970993817127</v>
      </c>
      <c r="F187" s="650">
        <v>2355.2068093198841</v>
      </c>
      <c r="G187" s="650">
        <v>2560.109801730714</v>
      </c>
    </row>
    <row r="188" spans="1:7">
      <c r="A188" s="332">
        <v>9950</v>
      </c>
      <c r="B188" s="650">
        <v>1162.8756907555303</v>
      </c>
      <c r="C188" s="650">
        <v>1657.1131171317552</v>
      </c>
      <c r="D188" s="650">
        <v>1922.3425064563248</v>
      </c>
      <c r="E188" s="650">
        <v>2147.2565797117149</v>
      </c>
      <c r="F188" s="650">
        <v>2361.9822376828865</v>
      </c>
      <c r="G188" s="650">
        <v>2567.4746923612975</v>
      </c>
    </row>
    <row r="189" spans="1:7">
      <c r="A189" s="332">
        <v>10000</v>
      </c>
      <c r="B189" s="650">
        <v>1166.2017304159951</v>
      </c>
      <c r="C189" s="650">
        <v>1661.8497868394697</v>
      </c>
      <c r="D189" s="650">
        <v>1927.856812929022</v>
      </c>
      <c r="E189" s="650">
        <v>2153.4160600417176</v>
      </c>
      <c r="F189" s="650">
        <v>2368.7576660458894</v>
      </c>
      <c r="G189" s="650">
        <v>2574.8395829918818</v>
      </c>
    </row>
    <row r="190" spans="1:7">
      <c r="A190" s="332">
        <v>10050</v>
      </c>
      <c r="B190" s="650">
        <v>1169.52777007646</v>
      </c>
      <c r="C190" s="650">
        <v>1666.5864565471841</v>
      </c>
      <c r="D190" s="650">
        <v>1933.3711194017189</v>
      </c>
      <c r="E190" s="650">
        <v>2159.5755403717203</v>
      </c>
      <c r="F190" s="650">
        <v>2375.5330944088923</v>
      </c>
      <c r="G190" s="650">
        <v>2582.2044736224657</v>
      </c>
    </row>
    <row r="191" spans="1:7">
      <c r="A191" s="332">
        <v>10100</v>
      </c>
      <c r="B191" s="650">
        <v>1172.8538097369249</v>
      </c>
      <c r="C191" s="650">
        <v>1671.3231262548984</v>
      </c>
      <c r="D191" s="650">
        <v>1938.8854258744157</v>
      </c>
      <c r="E191" s="650">
        <v>2165.7350207017225</v>
      </c>
      <c r="F191" s="650">
        <v>2382.3085227718948</v>
      </c>
      <c r="G191" s="650">
        <v>2589.5693642530496</v>
      </c>
    </row>
    <row r="192" spans="1:7">
      <c r="A192" s="332">
        <v>10150</v>
      </c>
      <c r="B192" s="650">
        <v>1175.6174412001105</v>
      </c>
      <c r="C192" s="650">
        <v>1675.1781028280573</v>
      </c>
      <c r="D192" s="650">
        <v>1943.272909230436</v>
      </c>
      <c r="E192" s="650">
        <v>2170.6358396103974</v>
      </c>
      <c r="F192" s="650">
        <v>2387.6994235714369</v>
      </c>
      <c r="G192" s="650">
        <v>2595.4292734221522</v>
      </c>
    </row>
    <row r="193" spans="1:7">
      <c r="A193" s="332">
        <v>10200</v>
      </c>
      <c r="B193" s="650">
        <v>1178.1717017012493</v>
      </c>
      <c r="C193" s="650">
        <v>1678.7048463834449</v>
      </c>
      <c r="D193" s="650">
        <v>1947.240903608279</v>
      </c>
      <c r="E193" s="650">
        <v>2175.0680893304479</v>
      </c>
      <c r="F193" s="650">
        <v>2392.5748982634927</v>
      </c>
      <c r="G193" s="650">
        <v>2600.7289144124165</v>
      </c>
    </row>
    <row r="194" spans="1:7">
      <c r="A194" s="332">
        <v>10250</v>
      </c>
      <c r="B194" s="650">
        <v>1180.7259622023878</v>
      </c>
      <c r="C194" s="650">
        <v>1682.2315899388323</v>
      </c>
      <c r="D194" s="650">
        <v>1951.2088979861217</v>
      </c>
      <c r="E194" s="650">
        <v>2179.500339050498</v>
      </c>
      <c r="F194" s="650">
        <v>2397.4503729555481</v>
      </c>
      <c r="G194" s="650">
        <v>2606.0285554026805</v>
      </c>
    </row>
    <row r="195" spans="1:7">
      <c r="A195" s="332">
        <v>10300</v>
      </c>
      <c r="B195" s="650">
        <v>1183.2802227035265</v>
      </c>
      <c r="C195" s="650">
        <v>1685.7583334942199</v>
      </c>
      <c r="D195" s="650">
        <v>1955.1768923639645</v>
      </c>
      <c r="E195" s="650">
        <v>2183.9325887705486</v>
      </c>
      <c r="F195" s="650">
        <v>2402.3258476476035</v>
      </c>
      <c r="G195" s="650">
        <v>2611.3281963929448</v>
      </c>
    </row>
    <row r="196" spans="1:7">
      <c r="A196" s="332">
        <v>10350</v>
      </c>
      <c r="B196" s="650">
        <v>1185.8344832046655</v>
      </c>
      <c r="C196" s="650">
        <v>1689.2850770496075</v>
      </c>
      <c r="D196" s="650">
        <v>1959.1448867418073</v>
      </c>
      <c r="E196" s="650">
        <v>2188.3648384905991</v>
      </c>
      <c r="F196" s="650">
        <v>2407.2013223396589</v>
      </c>
      <c r="G196" s="650">
        <v>2616.6278373832092</v>
      </c>
    </row>
    <row r="197" spans="1:7">
      <c r="A197" s="332">
        <v>10400</v>
      </c>
      <c r="B197" s="650">
        <v>1188.388743705804</v>
      </c>
      <c r="C197" s="650">
        <v>1692.8118206049949</v>
      </c>
      <c r="D197" s="650">
        <v>1963.1128811196502</v>
      </c>
      <c r="E197" s="650">
        <v>2192.7970882106497</v>
      </c>
      <c r="F197" s="650">
        <v>2412.0767970317147</v>
      </c>
      <c r="G197" s="650">
        <v>2621.9274783734736</v>
      </c>
    </row>
    <row r="198" spans="1:7">
      <c r="A198" s="332">
        <v>10450</v>
      </c>
      <c r="B198" s="650">
        <v>1190.9430042069428</v>
      </c>
      <c r="C198" s="650">
        <v>1696.3385641603825</v>
      </c>
      <c r="D198" s="650">
        <v>1967.080875497493</v>
      </c>
      <c r="E198" s="650">
        <v>2197.2293379306998</v>
      </c>
      <c r="F198" s="650">
        <v>2416.9522717237701</v>
      </c>
      <c r="G198" s="650">
        <v>2627.227119363738</v>
      </c>
    </row>
    <row r="199" spans="1:7">
      <c r="A199" s="332">
        <v>10500</v>
      </c>
      <c r="B199" s="650">
        <v>1193.4972647080815</v>
      </c>
      <c r="C199" s="650">
        <v>1699.8653077157701</v>
      </c>
      <c r="D199" s="650">
        <v>1971.0488698753359</v>
      </c>
      <c r="E199" s="650">
        <v>2201.6615876507503</v>
      </c>
      <c r="F199" s="650">
        <v>2421.8277464158255</v>
      </c>
      <c r="G199" s="650">
        <v>2632.5267603540024</v>
      </c>
    </row>
    <row r="200" spans="1:7">
      <c r="A200" s="332">
        <v>10550</v>
      </c>
      <c r="B200" s="650">
        <v>1196.0515252092202</v>
      </c>
      <c r="C200" s="650">
        <v>1703.3920512711575</v>
      </c>
      <c r="D200" s="650">
        <v>1975.0168642531787</v>
      </c>
      <c r="E200" s="650">
        <v>2206.0938373708009</v>
      </c>
      <c r="F200" s="650">
        <v>2426.7032211078808</v>
      </c>
      <c r="G200" s="650">
        <v>2637.8264013442667</v>
      </c>
    </row>
    <row r="201" spans="1:7">
      <c r="A201" s="332">
        <v>10600</v>
      </c>
      <c r="B201" s="650">
        <v>1198.605785710359</v>
      </c>
      <c r="C201" s="650">
        <v>1706.9187948265451</v>
      </c>
      <c r="D201" s="650">
        <v>1978.9848586310213</v>
      </c>
      <c r="E201" s="650">
        <v>2210.526087090851</v>
      </c>
      <c r="F201" s="650">
        <v>2431.5786957999362</v>
      </c>
      <c r="G201" s="650">
        <v>2643.1260423345307</v>
      </c>
    </row>
    <row r="202" spans="1:7">
      <c r="A202" s="332">
        <v>10650</v>
      </c>
      <c r="B202" s="650">
        <v>1201.1600462114977</v>
      </c>
      <c r="C202" s="650">
        <v>1710.4455383819327</v>
      </c>
      <c r="D202" s="650">
        <v>1982.9528530088644</v>
      </c>
      <c r="E202" s="650">
        <v>2214.9583368109015</v>
      </c>
      <c r="F202" s="650">
        <v>2436.454170491992</v>
      </c>
      <c r="G202" s="650">
        <v>2648.425683324795</v>
      </c>
    </row>
    <row r="203" spans="1:7">
      <c r="A203" s="332">
        <v>10700</v>
      </c>
      <c r="B203" s="650">
        <v>1203.7143067126365</v>
      </c>
      <c r="C203" s="650">
        <v>1713.9722819373201</v>
      </c>
      <c r="D203" s="650">
        <v>1986.9208473867072</v>
      </c>
      <c r="E203" s="650">
        <v>2219.3905865309521</v>
      </c>
      <c r="F203" s="650">
        <v>2441.3296451840474</v>
      </c>
      <c r="G203" s="650">
        <v>2653.7253243150594</v>
      </c>
    </row>
    <row r="204" spans="1:7">
      <c r="A204" s="332">
        <v>10750</v>
      </c>
      <c r="B204" s="650">
        <v>1206.2685672137752</v>
      </c>
      <c r="C204" s="650">
        <v>1717.4990254927077</v>
      </c>
      <c r="D204" s="650">
        <v>1990.8888417645499</v>
      </c>
      <c r="E204" s="650">
        <v>2223.8228362510026</v>
      </c>
      <c r="F204" s="650">
        <v>2446.2051198761028</v>
      </c>
      <c r="G204" s="650">
        <v>2659.0249653053238</v>
      </c>
    </row>
    <row r="205" spans="1:7">
      <c r="A205" s="332">
        <v>10800</v>
      </c>
      <c r="B205" s="650">
        <v>1208.822827714914</v>
      </c>
      <c r="C205" s="650">
        <v>1721.0257690480953</v>
      </c>
      <c r="D205" s="650">
        <v>1994.8568361423929</v>
      </c>
      <c r="E205" s="650">
        <v>2228.2550859710532</v>
      </c>
      <c r="F205" s="650">
        <v>2451.0805945681586</v>
      </c>
      <c r="G205" s="650">
        <v>2664.3246062955882</v>
      </c>
    </row>
    <row r="206" spans="1:7">
      <c r="A206" s="332">
        <v>10850</v>
      </c>
      <c r="B206" s="650">
        <v>1211.3770882160527</v>
      </c>
      <c r="C206" s="650">
        <v>1724.5525126034827</v>
      </c>
      <c r="D206" s="650">
        <v>1998.8248305202358</v>
      </c>
      <c r="E206" s="650">
        <v>2232.6873356911033</v>
      </c>
      <c r="F206" s="650">
        <v>2455.956069260214</v>
      </c>
      <c r="G206" s="650">
        <v>2669.6242472858526</v>
      </c>
    </row>
    <row r="207" spans="1:7">
      <c r="A207" s="332">
        <v>10900</v>
      </c>
      <c r="B207" s="650">
        <v>1213.9313487171914</v>
      </c>
      <c r="C207" s="650">
        <v>1728.0792561588703</v>
      </c>
      <c r="D207" s="650">
        <v>2002.7928248980784</v>
      </c>
      <c r="E207" s="650">
        <v>2237.1195854111538</v>
      </c>
      <c r="F207" s="650">
        <v>2460.8315439522694</v>
      </c>
      <c r="G207" s="650">
        <v>2674.9238882761165</v>
      </c>
    </row>
    <row r="208" spans="1:7">
      <c r="A208" s="332">
        <v>10950</v>
      </c>
      <c r="B208" s="650">
        <v>1216.48560921833</v>
      </c>
      <c r="C208" s="650">
        <v>1731.6059997142579</v>
      </c>
      <c r="D208" s="650">
        <v>2006.7608192759212</v>
      </c>
      <c r="E208" s="650">
        <v>2241.5518351312044</v>
      </c>
      <c r="F208" s="650">
        <v>2465.7070186443248</v>
      </c>
      <c r="G208" s="650">
        <v>2680.2235292663809</v>
      </c>
    </row>
    <row r="209" spans="1:7">
      <c r="A209" s="332">
        <v>11000</v>
      </c>
      <c r="B209" s="650">
        <v>1219.0398697194687</v>
      </c>
      <c r="C209" s="650">
        <v>1735.1327432696453</v>
      </c>
      <c r="D209" s="650">
        <v>2010.7288136537641</v>
      </c>
      <c r="E209" s="650">
        <v>2245.9840848512545</v>
      </c>
      <c r="F209" s="650">
        <v>2470.5824933363801</v>
      </c>
      <c r="G209" s="650">
        <v>2685.5231702566452</v>
      </c>
    </row>
    <row r="210" spans="1:7">
      <c r="A210" s="332">
        <v>11050</v>
      </c>
      <c r="B210" s="650">
        <v>1221.5941302206074</v>
      </c>
      <c r="C210" s="650">
        <v>1738.6594868250329</v>
      </c>
      <c r="D210" s="650">
        <v>2014.6968080316069</v>
      </c>
      <c r="E210" s="650">
        <v>2250.416334571305</v>
      </c>
      <c r="F210" s="650">
        <v>2475.4579680284355</v>
      </c>
      <c r="G210" s="650">
        <v>2690.8228112469096</v>
      </c>
    </row>
    <row r="211" spans="1:7">
      <c r="A211" s="332">
        <v>11100</v>
      </c>
      <c r="B211" s="650">
        <v>1224.1483907217462</v>
      </c>
      <c r="C211" s="650">
        <v>1742.1862303804205</v>
      </c>
      <c r="D211" s="650">
        <v>2018.6648024094497</v>
      </c>
      <c r="E211" s="650">
        <v>2254.8485842913556</v>
      </c>
      <c r="F211" s="650">
        <v>2480.3334427204913</v>
      </c>
      <c r="G211" s="650">
        <v>2696.122452237174</v>
      </c>
    </row>
    <row r="212" spans="1:7">
      <c r="A212" s="332">
        <v>11150</v>
      </c>
      <c r="B212" s="650">
        <v>1226.7026512228849</v>
      </c>
      <c r="C212" s="650">
        <v>1745.7129739358081</v>
      </c>
      <c r="D212" s="650">
        <v>2022.6327967872926</v>
      </c>
      <c r="E212" s="650">
        <v>2259.2808340114061</v>
      </c>
      <c r="F212" s="650">
        <v>2485.2089174125467</v>
      </c>
      <c r="G212" s="650">
        <v>2701.4220932274384</v>
      </c>
    </row>
    <row r="213" spans="1:7">
      <c r="A213" s="332">
        <v>11200</v>
      </c>
      <c r="B213" s="650">
        <v>1229.2569117240237</v>
      </c>
      <c r="C213" s="650">
        <v>1749.2397174911955</v>
      </c>
      <c r="D213" s="650">
        <v>2026.6007911651354</v>
      </c>
      <c r="E213" s="650">
        <v>2263.7130837314562</v>
      </c>
      <c r="F213" s="650">
        <v>2490.0843921046021</v>
      </c>
      <c r="G213" s="650">
        <v>2706.7217342177023</v>
      </c>
    </row>
    <row r="214" spans="1:7">
      <c r="A214" s="332">
        <v>11250</v>
      </c>
      <c r="B214" s="650">
        <v>1231.8111722251624</v>
      </c>
      <c r="C214" s="650">
        <v>1752.7664610465831</v>
      </c>
      <c r="D214" s="650">
        <v>2030.5687855429783</v>
      </c>
      <c r="E214" s="650">
        <v>2268.1453334515068</v>
      </c>
      <c r="F214" s="650">
        <v>2494.9598667966575</v>
      </c>
      <c r="G214" s="650">
        <v>2712.0213752079671</v>
      </c>
    </row>
    <row r="215" spans="1:7">
      <c r="A215" s="332">
        <v>11300</v>
      </c>
      <c r="B215" s="650">
        <v>1234.3654327263012</v>
      </c>
      <c r="C215" s="650">
        <v>1756.2932046019705</v>
      </c>
      <c r="D215" s="650">
        <v>2034.5367799208211</v>
      </c>
      <c r="E215" s="650">
        <v>2272.5775831715573</v>
      </c>
      <c r="F215" s="650">
        <v>2499.8353414887133</v>
      </c>
      <c r="G215" s="650">
        <v>2717.3210161982311</v>
      </c>
    </row>
    <row r="216" spans="1:7">
      <c r="A216" s="332">
        <v>11350</v>
      </c>
      <c r="B216" s="650">
        <v>1236.9196932274399</v>
      </c>
      <c r="C216" s="650">
        <v>1759.8199481573581</v>
      </c>
      <c r="D216" s="650">
        <v>2038.504774298664</v>
      </c>
      <c r="E216" s="650">
        <v>2277.0098328916079</v>
      </c>
      <c r="F216" s="650">
        <v>2504.7108161807687</v>
      </c>
      <c r="G216" s="650">
        <v>2722.6206571884954</v>
      </c>
    </row>
    <row r="217" spans="1:7">
      <c r="A217" s="332">
        <v>11400</v>
      </c>
      <c r="B217" s="650">
        <v>1239.4739537285786</v>
      </c>
      <c r="C217" s="650">
        <v>1763.3466917127457</v>
      </c>
      <c r="D217" s="650">
        <v>2042.4727686765066</v>
      </c>
      <c r="E217" s="650">
        <v>2281.442082611658</v>
      </c>
      <c r="F217" s="650">
        <v>2509.5862908728241</v>
      </c>
      <c r="G217" s="650">
        <v>2727.9202981787598</v>
      </c>
    </row>
    <row r="218" spans="1:7">
      <c r="A218" s="332">
        <v>11450</v>
      </c>
      <c r="B218" s="650">
        <v>1242.0282142297174</v>
      </c>
      <c r="C218" s="650">
        <v>1766.8734352681333</v>
      </c>
      <c r="D218" s="650">
        <v>2046.4407630543496</v>
      </c>
      <c r="E218" s="650">
        <v>2285.8743323317085</v>
      </c>
      <c r="F218" s="650">
        <v>2514.4617655648794</v>
      </c>
      <c r="G218" s="650">
        <v>2733.2199391690242</v>
      </c>
    </row>
    <row r="219" spans="1:7">
      <c r="A219" s="332">
        <v>11500</v>
      </c>
      <c r="B219" s="650">
        <v>1244.5824747308561</v>
      </c>
      <c r="C219" s="650">
        <v>1770.4001788235207</v>
      </c>
      <c r="D219" s="650">
        <v>2050.4087574321925</v>
      </c>
      <c r="E219" s="650">
        <v>2290.3065820517591</v>
      </c>
      <c r="F219" s="650">
        <v>2519.3372402569348</v>
      </c>
      <c r="G219" s="650">
        <v>2738.5195801592881</v>
      </c>
    </row>
    <row r="220" spans="1:7">
      <c r="A220" s="332">
        <v>11550</v>
      </c>
      <c r="B220" s="650">
        <v>1247.2639292476522</v>
      </c>
      <c r="C220" s="650">
        <v>1774.1526993999855</v>
      </c>
      <c r="D220" s="650">
        <v>2054.6831902283525</v>
      </c>
      <c r="E220" s="650">
        <v>2295.0811234850698</v>
      </c>
      <c r="F220" s="650">
        <v>2524.5892358335768</v>
      </c>
      <c r="G220" s="650">
        <v>2744.228499351098</v>
      </c>
    </row>
    <row r="221" spans="1:7">
      <c r="A221" s="332">
        <v>11600</v>
      </c>
      <c r="B221" s="650">
        <v>1250.1287924409846</v>
      </c>
      <c r="C221" s="650">
        <v>1778.2307813986138</v>
      </c>
      <c r="D221" s="650">
        <v>2059.3994949510566</v>
      </c>
      <c r="E221" s="650">
        <v>2300.3492358603303</v>
      </c>
      <c r="F221" s="650">
        <v>2530.3841594463634</v>
      </c>
      <c r="G221" s="650">
        <v>2750.527581318197</v>
      </c>
    </row>
    <row r="222" spans="1:7">
      <c r="A222" s="332">
        <v>11650</v>
      </c>
      <c r="B222" s="650">
        <v>1252.9936556343171</v>
      </c>
      <c r="C222" s="650">
        <v>1782.3088633972418</v>
      </c>
      <c r="D222" s="650">
        <v>2064.1157996737606</v>
      </c>
      <c r="E222" s="650">
        <v>2305.6173482355907</v>
      </c>
      <c r="F222" s="650">
        <v>2536.1790830591499</v>
      </c>
      <c r="G222" s="650">
        <v>2756.826663285296</v>
      </c>
    </row>
    <row r="223" spans="1:7">
      <c r="A223" s="332">
        <v>11700</v>
      </c>
      <c r="B223" s="650">
        <v>1255.8585188276493</v>
      </c>
      <c r="C223" s="650">
        <v>1786.3869453958698</v>
      </c>
      <c r="D223" s="650">
        <v>2068.8321043964647</v>
      </c>
      <c r="E223" s="650">
        <v>2310.8854606108512</v>
      </c>
      <c r="F223" s="650">
        <v>2541.974006671936</v>
      </c>
      <c r="G223" s="650">
        <v>2763.1257452523946</v>
      </c>
    </row>
    <row r="224" spans="1:7">
      <c r="A224" s="332">
        <v>11750</v>
      </c>
      <c r="B224" s="650">
        <v>1258.7233820209817</v>
      </c>
      <c r="C224" s="650">
        <v>1790.4650273944978</v>
      </c>
      <c r="D224" s="650">
        <v>2073.5484091191688</v>
      </c>
      <c r="E224" s="650">
        <v>2316.1535729861116</v>
      </c>
      <c r="F224" s="650">
        <v>2547.7689302847225</v>
      </c>
      <c r="G224" s="650">
        <v>2769.4248272194936</v>
      </c>
    </row>
    <row r="225" spans="1:7">
      <c r="A225" s="332">
        <v>11800</v>
      </c>
      <c r="B225" s="650">
        <v>1261.5882452143142</v>
      </c>
      <c r="C225" s="650">
        <v>1794.5431093931259</v>
      </c>
      <c r="D225" s="650">
        <v>2078.2647138418724</v>
      </c>
      <c r="E225" s="650">
        <v>2321.4216853613721</v>
      </c>
      <c r="F225" s="650">
        <v>2553.563853897509</v>
      </c>
      <c r="G225" s="650">
        <v>2775.7239091865922</v>
      </c>
    </row>
    <row r="226" spans="1:7">
      <c r="A226" s="332">
        <v>11850</v>
      </c>
      <c r="B226" s="650">
        <v>1264.4531084076464</v>
      </c>
      <c r="C226" s="650">
        <v>1798.6211913917541</v>
      </c>
      <c r="D226" s="650">
        <v>2082.9810185645765</v>
      </c>
      <c r="E226" s="650">
        <v>2326.6897977366325</v>
      </c>
      <c r="F226" s="650">
        <v>2559.3587775102951</v>
      </c>
      <c r="G226" s="650">
        <v>2782.0229911536912</v>
      </c>
    </row>
    <row r="227" spans="1:7">
      <c r="A227" s="332">
        <v>11900</v>
      </c>
      <c r="B227" s="650">
        <v>1267.3179716009788</v>
      </c>
      <c r="C227" s="650">
        <v>1802.6992733903821</v>
      </c>
      <c r="D227" s="650">
        <v>2087.6973232872806</v>
      </c>
      <c r="E227" s="650">
        <v>2331.9579101118929</v>
      </c>
      <c r="F227" s="650">
        <v>2565.1537011230821</v>
      </c>
      <c r="G227" s="650">
        <v>2788.3220731207903</v>
      </c>
    </row>
    <row r="228" spans="1:7">
      <c r="A228" s="332">
        <v>11950</v>
      </c>
      <c r="B228" s="650">
        <v>1270.1828347943112</v>
      </c>
      <c r="C228" s="650">
        <v>1806.7773553890102</v>
      </c>
      <c r="D228" s="650">
        <v>2092.4136280099847</v>
      </c>
      <c r="E228" s="650">
        <v>2337.2260224871534</v>
      </c>
      <c r="F228" s="650">
        <v>2570.9486247358682</v>
      </c>
      <c r="G228" s="650">
        <v>2794.6211550878888</v>
      </c>
    </row>
    <row r="229" spans="1:7">
      <c r="A229" s="332">
        <v>12000</v>
      </c>
      <c r="B229" s="650">
        <v>1273.0476979876435</v>
      </c>
      <c r="C229" s="650">
        <v>1810.8554373876382</v>
      </c>
      <c r="D229" s="650">
        <v>2097.1299327326888</v>
      </c>
      <c r="E229" s="650">
        <v>2342.4941348624134</v>
      </c>
      <c r="F229" s="650">
        <v>2576.7435483486547</v>
      </c>
      <c r="G229" s="650">
        <v>2800.9202370549879</v>
      </c>
    </row>
    <row r="230" spans="1:7">
      <c r="A230" s="332">
        <v>12050</v>
      </c>
      <c r="B230" s="650">
        <v>1275.9125611809759</v>
      </c>
      <c r="C230" s="650">
        <v>1814.9335193862664</v>
      </c>
      <c r="D230" s="650">
        <v>2101.8462374553928</v>
      </c>
      <c r="E230" s="650">
        <v>2347.7622472376743</v>
      </c>
      <c r="F230" s="650">
        <v>2582.5384719614412</v>
      </c>
      <c r="G230" s="650">
        <v>2807.2193190220869</v>
      </c>
    </row>
    <row r="231" spans="1:7">
      <c r="A231" s="332">
        <v>12100</v>
      </c>
      <c r="B231" s="650">
        <v>1278.7774243743083</v>
      </c>
      <c r="C231" s="650">
        <v>1819.0116013848944</v>
      </c>
      <c r="D231" s="650">
        <v>2106.5625421780969</v>
      </c>
      <c r="E231" s="650">
        <v>2353.0303596129343</v>
      </c>
      <c r="F231" s="650">
        <v>2588.3333955742278</v>
      </c>
      <c r="G231" s="650">
        <v>2813.5184009891855</v>
      </c>
    </row>
    <row r="232" spans="1:7">
      <c r="A232" s="332">
        <v>12150</v>
      </c>
      <c r="B232" s="650">
        <v>1281.6422875676406</v>
      </c>
      <c r="C232" s="650">
        <v>1823.0896833835225</v>
      </c>
      <c r="D232" s="650">
        <v>2111.278846900801</v>
      </c>
      <c r="E232" s="650">
        <v>2358.2984719881947</v>
      </c>
      <c r="F232" s="650">
        <v>2594.1283191870143</v>
      </c>
      <c r="G232" s="650">
        <v>2819.8174829562845</v>
      </c>
    </row>
    <row r="233" spans="1:7">
      <c r="A233" s="332">
        <v>12200</v>
      </c>
      <c r="B233" s="650">
        <v>1284.507150760973</v>
      </c>
      <c r="C233" s="650">
        <v>1827.1677653821505</v>
      </c>
      <c r="D233" s="650">
        <v>2115.9951516235051</v>
      </c>
      <c r="E233" s="650">
        <v>2363.5665843634551</v>
      </c>
      <c r="F233" s="650">
        <v>2599.9232427998004</v>
      </c>
      <c r="G233" s="650">
        <v>2826.1165649233835</v>
      </c>
    </row>
    <row r="234" spans="1:7">
      <c r="A234" s="332">
        <v>12250</v>
      </c>
      <c r="B234" s="650">
        <v>1287.3720139543054</v>
      </c>
      <c r="C234" s="650">
        <v>1831.2458473807787</v>
      </c>
      <c r="D234" s="650">
        <v>2120.7114563462087</v>
      </c>
      <c r="E234" s="650">
        <v>2368.8346967387156</v>
      </c>
      <c r="F234" s="650">
        <v>2605.7181664125869</v>
      </c>
      <c r="G234" s="650">
        <v>2832.4156468904821</v>
      </c>
    </row>
    <row r="235" spans="1:7">
      <c r="A235" s="332">
        <v>12300</v>
      </c>
      <c r="B235" s="650">
        <v>1290.2368771476376</v>
      </c>
      <c r="C235" s="650">
        <v>1835.3239293794068</v>
      </c>
      <c r="D235" s="650">
        <v>2125.4277610689128</v>
      </c>
      <c r="E235" s="650">
        <v>2374.102809113976</v>
      </c>
      <c r="F235" s="650">
        <v>2611.5130900253735</v>
      </c>
      <c r="G235" s="650">
        <v>2838.7147288575811</v>
      </c>
    </row>
    <row r="236" spans="1:7">
      <c r="A236" s="332">
        <v>12350</v>
      </c>
      <c r="B236" s="650">
        <v>1293.1017403409703</v>
      </c>
      <c r="C236" s="650">
        <v>1839.402011378035</v>
      </c>
      <c r="D236" s="650">
        <v>2130.1440657916173</v>
      </c>
      <c r="E236" s="650">
        <v>2379.3709214892365</v>
      </c>
      <c r="F236" s="650">
        <v>2617.30801363816</v>
      </c>
      <c r="G236" s="650">
        <v>2845.0138108246801</v>
      </c>
    </row>
    <row r="237" spans="1:7">
      <c r="A237" s="332">
        <v>12400</v>
      </c>
      <c r="B237" s="650">
        <v>1295.9666035343025</v>
      </c>
      <c r="C237" s="650">
        <v>1843.480093376663</v>
      </c>
      <c r="D237" s="650">
        <v>2134.8603705143209</v>
      </c>
      <c r="E237" s="650">
        <v>2384.6390338644969</v>
      </c>
      <c r="F237" s="650">
        <v>2623.1029372509465</v>
      </c>
      <c r="G237" s="650">
        <v>2851.3128927917792</v>
      </c>
    </row>
    <row r="238" spans="1:7">
      <c r="A238" s="332">
        <v>12450</v>
      </c>
      <c r="B238" s="650">
        <v>1298.831466727635</v>
      </c>
      <c r="C238" s="650">
        <v>1847.5581753752911</v>
      </c>
      <c r="D238" s="650">
        <v>2139.576675237025</v>
      </c>
      <c r="E238" s="650">
        <v>2389.9071462397574</v>
      </c>
      <c r="F238" s="650">
        <v>2628.8978608637331</v>
      </c>
      <c r="G238" s="650">
        <v>2857.6119747588777</v>
      </c>
    </row>
    <row r="239" spans="1:7">
      <c r="A239" s="332">
        <v>12500</v>
      </c>
      <c r="B239" s="650">
        <v>1301.6963299209672</v>
      </c>
      <c r="C239" s="650">
        <v>1851.6362573739191</v>
      </c>
      <c r="D239" s="650">
        <v>2144.2929799597291</v>
      </c>
      <c r="E239" s="650">
        <v>2395.1752586150178</v>
      </c>
      <c r="F239" s="650">
        <v>2634.6927844765191</v>
      </c>
      <c r="G239" s="650">
        <v>2863.9110567259768</v>
      </c>
    </row>
    <row r="240" spans="1:7">
      <c r="A240" s="332">
        <v>12550</v>
      </c>
      <c r="B240" s="650">
        <v>1304.5611931142996</v>
      </c>
      <c r="C240" s="650">
        <v>1855.7143393725471</v>
      </c>
      <c r="D240" s="650">
        <v>2149.0092846824332</v>
      </c>
      <c r="E240" s="650">
        <v>2400.4433709902783</v>
      </c>
      <c r="F240" s="650">
        <v>2640.4877080893057</v>
      </c>
      <c r="G240" s="650">
        <v>2870.2101386930754</v>
      </c>
    </row>
    <row r="241" spans="1:7">
      <c r="A241" s="332">
        <v>12600</v>
      </c>
      <c r="B241" s="650">
        <v>1307.4260563076321</v>
      </c>
      <c r="C241" s="650">
        <v>1859.7924213711751</v>
      </c>
      <c r="D241" s="650">
        <v>2153.7255894051373</v>
      </c>
      <c r="E241" s="650">
        <v>2405.7114833655382</v>
      </c>
      <c r="F241" s="650">
        <v>2646.2826317020922</v>
      </c>
      <c r="G241" s="650">
        <v>2876.5092206601744</v>
      </c>
    </row>
    <row r="242" spans="1:7">
      <c r="A242" s="332">
        <v>12650</v>
      </c>
      <c r="B242" s="650">
        <v>1310.2909195009643</v>
      </c>
      <c r="C242" s="650">
        <v>1863.8705033698034</v>
      </c>
      <c r="D242" s="650">
        <v>2158.4418941278414</v>
      </c>
      <c r="E242" s="650">
        <v>2410.9795957407987</v>
      </c>
      <c r="F242" s="650">
        <v>2652.0775553148787</v>
      </c>
      <c r="G242" s="650">
        <v>2882.808302627273</v>
      </c>
    </row>
    <row r="243" spans="1:7">
      <c r="A243" s="332">
        <v>12700</v>
      </c>
      <c r="B243" s="650">
        <v>1313.1557826942967</v>
      </c>
      <c r="C243" s="650">
        <v>1867.9485853684316</v>
      </c>
      <c r="D243" s="650">
        <v>2163.1581988505454</v>
      </c>
      <c r="E243" s="650">
        <v>2416.2477081160596</v>
      </c>
      <c r="F243" s="650">
        <v>2657.8724789276653</v>
      </c>
      <c r="G243" s="650">
        <v>2889.1073845943724</v>
      </c>
    </row>
    <row r="244" spans="1:7">
      <c r="A244" s="332">
        <v>12750</v>
      </c>
      <c r="B244" s="650">
        <v>1316.0206458876289</v>
      </c>
      <c r="C244" s="650">
        <v>1872.0266673670594</v>
      </c>
      <c r="D244" s="650">
        <v>2167.8745035732491</v>
      </c>
      <c r="E244" s="650">
        <v>2421.5158204913196</v>
      </c>
      <c r="F244" s="650">
        <v>2663.6674025404513</v>
      </c>
      <c r="G244" s="650">
        <v>2895.406466561471</v>
      </c>
    </row>
    <row r="245" spans="1:7">
      <c r="A245" s="332">
        <v>12800</v>
      </c>
      <c r="B245" s="650">
        <v>1318.8855090809616</v>
      </c>
      <c r="C245" s="650">
        <v>1876.1047493656877</v>
      </c>
      <c r="D245" s="650">
        <v>2172.5908082959536</v>
      </c>
      <c r="E245" s="650">
        <v>2426.7839328665805</v>
      </c>
      <c r="F245" s="650">
        <v>2669.4623261532379</v>
      </c>
      <c r="G245" s="650">
        <v>2901.70554852857</v>
      </c>
    </row>
    <row r="246" spans="1:7">
      <c r="A246" s="332">
        <v>12850</v>
      </c>
      <c r="B246" s="650">
        <v>1321.7503722742936</v>
      </c>
      <c r="C246" s="650">
        <v>1880.1828313643155</v>
      </c>
      <c r="D246" s="650">
        <v>2177.3071130186572</v>
      </c>
      <c r="E246" s="650">
        <v>2432.0520452418405</v>
      </c>
      <c r="F246" s="650">
        <v>2675.257249766024</v>
      </c>
      <c r="G246" s="650">
        <v>2908.0046304956686</v>
      </c>
    </row>
    <row r="247" spans="1:7">
      <c r="A247" s="332">
        <v>12900</v>
      </c>
      <c r="B247" s="650">
        <v>1324.6152354676262</v>
      </c>
      <c r="C247" s="650">
        <v>1884.2609133629437</v>
      </c>
      <c r="D247" s="650">
        <v>2182.0234177413613</v>
      </c>
      <c r="E247" s="650">
        <v>2437.3201576171009</v>
      </c>
      <c r="F247" s="650">
        <v>2681.0521733788109</v>
      </c>
      <c r="G247" s="650">
        <v>2914.3037124627676</v>
      </c>
    </row>
    <row r="248" spans="1:7">
      <c r="A248" s="332">
        <v>12950</v>
      </c>
      <c r="B248" s="650">
        <v>1327.4800986609584</v>
      </c>
      <c r="C248" s="650">
        <v>1888.3389953615717</v>
      </c>
      <c r="D248" s="650">
        <v>2186.7397224640654</v>
      </c>
      <c r="E248" s="650">
        <v>2442.5882699923613</v>
      </c>
      <c r="F248" s="650">
        <v>2686.8470969915975</v>
      </c>
      <c r="G248" s="650">
        <v>2920.6027944298667</v>
      </c>
    </row>
    <row r="249" spans="1:7">
      <c r="A249" s="332">
        <v>13000</v>
      </c>
      <c r="B249" s="650">
        <v>1330.3449618542909</v>
      </c>
      <c r="C249" s="650">
        <v>1892.4170773601998</v>
      </c>
      <c r="D249" s="650">
        <v>2191.4560271867695</v>
      </c>
      <c r="E249" s="650">
        <v>2447.8563823676218</v>
      </c>
      <c r="F249" s="650">
        <v>2692.6420206043836</v>
      </c>
      <c r="G249" s="650">
        <v>2926.9018763969652</v>
      </c>
    </row>
    <row r="250" spans="1:7">
      <c r="A250" s="332">
        <v>13050</v>
      </c>
      <c r="B250" s="650">
        <v>1333.2098250476233</v>
      </c>
      <c r="C250" s="650">
        <v>1896.495159358828</v>
      </c>
      <c r="D250" s="650">
        <v>2196.1723319094735</v>
      </c>
      <c r="E250" s="650">
        <v>2453.1244947428822</v>
      </c>
      <c r="F250" s="650">
        <v>2698.4369442171701</v>
      </c>
      <c r="G250" s="650">
        <v>2933.2009583640643</v>
      </c>
    </row>
    <row r="251" spans="1:7">
      <c r="A251" s="332">
        <v>13100</v>
      </c>
      <c r="B251" s="650">
        <v>1336.0746882409555</v>
      </c>
      <c r="C251" s="650">
        <v>1900.573241357456</v>
      </c>
      <c r="D251" s="650">
        <v>2200.8886366321776</v>
      </c>
      <c r="E251" s="650">
        <v>2458.3926071181427</v>
      </c>
      <c r="F251" s="650">
        <v>2704.2318678299566</v>
      </c>
      <c r="G251" s="650">
        <v>2939.5000403311628</v>
      </c>
    </row>
    <row r="252" spans="1:7">
      <c r="A252" s="332">
        <v>13150</v>
      </c>
      <c r="B252" s="650">
        <v>1338.9395514342882</v>
      </c>
      <c r="C252" s="650">
        <v>1904.6513233560843</v>
      </c>
      <c r="D252" s="650">
        <v>2205.6049413548817</v>
      </c>
      <c r="E252" s="650">
        <v>2463.6607194934031</v>
      </c>
      <c r="F252" s="650">
        <v>2710.0267914427432</v>
      </c>
      <c r="G252" s="650">
        <v>2945.7991222982623</v>
      </c>
    </row>
    <row r="253" spans="1:7">
      <c r="A253" s="332">
        <v>13200</v>
      </c>
      <c r="B253" s="650">
        <v>1341.8044146276202</v>
      </c>
      <c r="C253" s="650">
        <v>1908.7294053547121</v>
      </c>
      <c r="D253" s="650">
        <v>2210.3212460775853</v>
      </c>
      <c r="E253" s="650">
        <v>2468.9288318686631</v>
      </c>
      <c r="F253" s="650">
        <v>2715.8217150555292</v>
      </c>
      <c r="G253" s="650">
        <v>2952.0982042653604</v>
      </c>
    </row>
    <row r="254" spans="1:7">
      <c r="A254" s="332">
        <v>13250</v>
      </c>
      <c r="B254" s="650">
        <v>1344.6692778209529</v>
      </c>
      <c r="C254" s="650">
        <v>1912.8074873533403</v>
      </c>
      <c r="D254" s="650">
        <v>2215.0375508002899</v>
      </c>
      <c r="E254" s="650">
        <v>2474.196944243924</v>
      </c>
      <c r="F254" s="650">
        <v>2721.6166386683162</v>
      </c>
      <c r="G254" s="650">
        <v>2958.3972862324599</v>
      </c>
    </row>
    <row r="255" spans="1:7">
      <c r="A255" s="332">
        <v>13300</v>
      </c>
      <c r="B255" s="650">
        <v>1347.5341410142851</v>
      </c>
      <c r="C255" s="650">
        <v>1916.8855693519683</v>
      </c>
      <c r="D255" s="650">
        <v>2219.7538555229939</v>
      </c>
      <c r="E255" s="650">
        <v>2479.4650566191845</v>
      </c>
      <c r="F255" s="650">
        <v>2727.4115622811023</v>
      </c>
      <c r="G255" s="650">
        <v>2964.6963681995585</v>
      </c>
    </row>
    <row r="256" spans="1:7">
      <c r="A256" s="332">
        <v>13350</v>
      </c>
      <c r="B256" s="650">
        <v>1350.3990042076175</v>
      </c>
      <c r="C256" s="650">
        <v>1920.9636513505964</v>
      </c>
      <c r="D256" s="650">
        <v>2224.4701602456976</v>
      </c>
      <c r="E256" s="650">
        <v>2484.7331689944444</v>
      </c>
      <c r="F256" s="650">
        <v>2733.2064858938888</v>
      </c>
      <c r="G256" s="650">
        <v>2970.9954501666575</v>
      </c>
    </row>
    <row r="257" spans="1:7">
      <c r="A257" s="332">
        <v>13400</v>
      </c>
      <c r="B257" s="650">
        <v>1353.2638674009499</v>
      </c>
      <c r="C257" s="650">
        <v>1925.0417333492244</v>
      </c>
      <c r="D257" s="650">
        <v>2229.1864649684017</v>
      </c>
      <c r="E257" s="650">
        <v>2490.0012813697049</v>
      </c>
      <c r="F257" s="650">
        <v>2739.0014095066754</v>
      </c>
      <c r="G257" s="650">
        <v>2977.2945321337561</v>
      </c>
    </row>
    <row r="258" spans="1:7">
      <c r="A258" s="332">
        <v>13450</v>
      </c>
      <c r="B258" s="650">
        <v>1356.1287305942822</v>
      </c>
      <c r="C258" s="650">
        <v>1929.1198153478526</v>
      </c>
      <c r="D258" s="650">
        <v>2233.9027696911057</v>
      </c>
      <c r="E258" s="650">
        <v>2495.2693937449653</v>
      </c>
      <c r="F258" s="650">
        <v>2744.7963331194619</v>
      </c>
      <c r="G258" s="650">
        <v>2983.5936141008551</v>
      </c>
    </row>
    <row r="259" spans="1:7">
      <c r="A259" s="332">
        <v>13500</v>
      </c>
      <c r="B259" s="650">
        <v>1358.9935937876146</v>
      </c>
      <c r="C259" s="650">
        <v>1933.1978973464809</v>
      </c>
      <c r="D259" s="650">
        <v>2238.6190744138103</v>
      </c>
      <c r="E259" s="650">
        <v>2500.5375061202262</v>
      </c>
      <c r="F259" s="650">
        <v>2750.5912567322484</v>
      </c>
      <c r="G259" s="650">
        <v>2989.8926960679541</v>
      </c>
    </row>
    <row r="260" spans="1:7">
      <c r="A260" s="332">
        <v>13550</v>
      </c>
      <c r="B260" s="650">
        <v>1361.8584569809468</v>
      </c>
      <c r="C260" s="650">
        <v>1937.2759793451087</v>
      </c>
      <c r="D260" s="650">
        <v>2243.3353791365139</v>
      </c>
      <c r="E260" s="650">
        <v>2505.8056184954862</v>
      </c>
      <c r="F260" s="650">
        <v>2756.3861803450345</v>
      </c>
      <c r="G260" s="650">
        <v>2996.1917780350527</v>
      </c>
    </row>
    <row r="261" spans="1:7">
      <c r="A261" s="332">
        <v>13600</v>
      </c>
      <c r="B261" s="650">
        <v>1364.7233201742795</v>
      </c>
      <c r="C261" s="650">
        <v>1941.3540613437369</v>
      </c>
      <c r="D261" s="650">
        <v>2248.051683859218</v>
      </c>
      <c r="E261" s="650">
        <v>2511.0737308707467</v>
      </c>
      <c r="F261" s="650">
        <v>2762.1811039578215</v>
      </c>
      <c r="G261" s="650">
        <v>3002.4908600021517</v>
      </c>
    </row>
    <row r="262" spans="1:7">
      <c r="A262" s="332">
        <v>13650</v>
      </c>
      <c r="B262" s="650">
        <v>1367.5881833676117</v>
      </c>
      <c r="C262" s="650">
        <v>1945.4321433423647</v>
      </c>
      <c r="D262" s="650">
        <v>2252.7679885819216</v>
      </c>
      <c r="E262" s="650">
        <v>2516.3418432460066</v>
      </c>
      <c r="F262" s="650">
        <v>2767.9760275706076</v>
      </c>
      <c r="G262" s="650">
        <v>3008.7899419692503</v>
      </c>
    </row>
    <row r="263" spans="1:7">
      <c r="A263" s="332">
        <v>13700</v>
      </c>
      <c r="B263" s="650">
        <v>1370.4530465609441</v>
      </c>
      <c r="C263" s="650">
        <v>1949.510225340993</v>
      </c>
      <c r="D263" s="650">
        <v>2257.4842933046261</v>
      </c>
      <c r="E263" s="650">
        <v>2521.6099556212675</v>
      </c>
      <c r="F263" s="650">
        <v>2773.7709511833941</v>
      </c>
      <c r="G263" s="650">
        <v>3015.0890239363498</v>
      </c>
    </row>
    <row r="264" spans="1:7">
      <c r="A264" s="332">
        <v>13750</v>
      </c>
      <c r="B264" s="650">
        <v>1373.3179097542763</v>
      </c>
      <c r="C264" s="650">
        <v>1953.588307339621</v>
      </c>
      <c r="D264" s="650">
        <v>2262.2005980273302</v>
      </c>
      <c r="E264" s="650">
        <v>2526.878067996528</v>
      </c>
      <c r="F264" s="650">
        <v>2779.5658747961807</v>
      </c>
      <c r="G264" s="650">
        <v>3021.3881059034484</v>
      </c>
    </row>
    <row r="265" spans="1:7">
      <c r="A265" s="332">
        <v>13800</v>
      </c>
      <c r="B265" s="650">
        <v>1376.1827729476088</v>
      </c>
      <c r="C265" s="650">
        <v>1957.666389338249</v>
      </c>
      <c r="D265" s="650">
        <v>2266.9169027500338</v>
      </c>
      <c r="E265" s="650">
        <v>2532.1461803717884</v>
      </c>
      <c r="F265" s="650">
        <v>2785.3607984089667</v>
      </c>
      <c r="G265" s="650">
        <v>3027.6871878705474</v>
      </c>
    </row>
    <row r="266" spans="1:7">
      <c r="A266" s="332">
        <v>13850</v>
      </c>
      <c r="B266" s="650">
        <v>1379.0476361409412</v>
      </c>
      <c r="C266" s="650">
        <v>1961.744471336877</v>
      </c>
      <c r="D266" s="650">
        <v>2271.6332074727379</v>
      </c>
      <c r="E266" s="650">
        <v>2537.4142927470484</v>
      </c>
      <c r="F266" s="650">
        <v>2791.1557220217533</v>
      </c>
      <c r="G266" s="650">
        <v>3033.986269837646</v>
      </c>
    </row>
    <row r="267" spans="1:7">
      <c r="A267" s="332">
        <v>13900</v>
      </c>
      <c r="B267" s="650">
        <v>1381.9124993342734</v>
      </c>
      <c r="C267" s="650">
        <v>1965.8225533355053</v>
      </c>
      <c r="D267" s="650">
        <v>2276.349512195442</v>
      </c>
      <c r="E267" s="650">
        <v>2542.6824051223089</v>
      </c>
      <c r="F267" s="650">
        <v>2796.9506456345398</v>
      </c>
      <c r="G267" s="650">
        <v>3040.285351804745</v>
      </c>
    </row>
    <row r="268" spans="1:7">
      <c r="A268" s="332">
        <v>13950</v>
      </c>
      <c r="B268" s="650">
        <v>1384.7773625276059</v>
      </c>
      <c r="C268" s="650">
        <v>1969.9006353341335</v>
      </c>
      <c r="D268" s="650">
        <v>2281.0658169181465</v>
      </c>
      <c r="E268" s="650">
        <v>2547.9505174975698</v>
      </c>
      <c r="F268" s="650">
        <v>2802.7455692473263</v>
      </c>
      <c r="G268" s="650">
        <v>3046.584433771844</v>
      </c>
    </row>
    <row r="269" spans="1:7">
      <c r="A269" s="332">
        <v>14000</v>
      </c>
      <c r="B269" s="650">
        <v>1387.6422257209381</v>
      </c>
      <c r="C269" s="650">
        <v>1973.9787173327613</v>
      </c>
      <c r="D269" s="650">
        <v>2285.7821216408502</v>
      </c>
      <c r="E269" s="650">
        <v>2553.2186298728298</v>
      </c>
      <c r="F269" s="650">
        <v>2808.5404928601129</v>
      </c>
      <c r="G269" s="650">
        <v>3052.8835157389426</v>
      </c>
    </row>
    <row r="270" spans="1:7">
      <c r="A270" s="332">
        <v>14050</v>
      </c>
      <c r="B270" s="650">
        <v>1390.5070889142708</v>
      </c>
      <c r="C270" s="650">
        <v>1978.0567993313896</v>
      </c>
      <c r="D270" s="650">
        <v>2290.4984263635542</v>
      </c>
      <c r="E270" s="650">
        <v>2558.4867422480902</v>
      </c>
      <c r="F270" s="650">
        <v>2814.3354164728994</v>
      </c>
      <c r="G270" s="650">
        <v>3059.1825977060416</v>
      </c>
    </row>
    <row r="271" spans="1:7">
      <c r="A271" s="332">
        <v>14100</v>
      </c>
      <c r="B271" s="650">
        <v>1393.3719521076027</v>
      </c>
      <c r="C271" s="650">
        <v>1982.1348813300174</v>
      </c>
      <c r="D271" s="650">
        <v>2295.2147310862583</v>
      </c>
      <c r="E271" s="650">
        <v>2563.7548546233506</v>
      </c>
      <c r="F271" s="650">
        <v>2820.1303400856855</v>
      </c>
      <c r="G271" s="650">
        <v>3065.4816796731402</v>
      </c>
    </row>
    <row r="272" spans="1:7">
      <c r="A272" s="332">
        <v>14150</v>
      </c>
      <c r="B272" s="650">
        <v>1396.2368153009354</v>
      </c>
      <c r="C272" s="650">
        <v>1986.2129633286456</v>
      </c>
      <c r="D272" s="650">
        <v>2299.9310358089624</v>
      </c>
      <c r="E272" s="650">
        <v>2569.0229669986111</v>
      </c>
      <c r="F272" s="650">
        <v>2825.925263698472</v>
      </c>
      <c r="G272" s="650">
        <v>3071.7807616402392</v>
      </c>
    </row>
    <row r="273" spans="1:7">
      <c r="A273" s="332">
        <v>14200</v>
      </c>
      <c r="B273" s="650">
        <v>1399.1016784942676</v>
      </c>
      <c r="C273" s="650">
        <v>1990.2910453272737</v>
      </c>
      <c r="D273" s="650">
        <v>2304.6473405316665</v>
      </c>
      <c r="E273" s="650">
        <v>2574.2910793738715</v>
      </c>
      <c r="F273" s="650">
        <v>2831.7201873112585</v>
      </c>
      <c r="G273" s="650">
        <v>3078.0798436073383</v>
      </c>
    </row>
    <row r="274" spans="1:7">
      <c r="A274" s="332">
        <v>14250</v>
      </c>
      <c r="B274" s="650">
        <v>1401.9665416876001</v>
      </c>
      <c r="C274" s="650">
        <v>1994.3691273259017</v>
      </c>
      <c r="D274" s="650">
        <v>2309.3636452543706</v>
      </c>
      <c r="E274" s="650">
        <v>2579.559191749132</v>
      </c>
      <c r="F274" s="650">
        <v>2837.5151109240451</v>
      </c>
      <c r="G274" s="650">
        <v>3084.3789255744368</v>
      </c>
    </row>
    <row r="275" spans="1:7">
      <c r="A275" s="332">
        <v>14300</v>
      </c>
      <c r="B275" s="650">
        <v>1404.8314048809325</v>
      </c>
      <c r="C275" s="650">
        <v>1998.4472093245299</v>
      </c>
      <c r="D275" s="650">
        <v>2314.0799499770742</v>
      </c>
      <c r="E275" s="650">
        <v>2584.8273041243924</v>
      </c>
      <c r="F275" s="650">
        <v>2843.3100345368312</v>
      </c>
      <c r="G275" s="650">
        <v>3090.6780075415359</v>
      </c>
    </row>
    <row r="276" spans="1:7">
      <c r="A276" s="332">
        <v>14350</v>
      </c>
      <c r="B276" s="650">
        <v>1407.6962680742647</v>
      </c>
      <c r="C276" s="650">
        <v>2002.5252913231579</v>
      </c>
      <c r="D276" s="650">
        <v>2318.7962546997783</v>
      </c>
      <c r="E276" s="650">
        <v>2590.0954164996529</v>
      </c>
      <c r="F276" s="650">
        <v>2849.1049581496177</v>
      </c>
      <c r="G276" s="650">
        <v>3096.9770895086349</v>
      </c>
    </row>
    <row r="277" spans="1:7">
      <c r="A277" s="332">
        <v>14400</v>
      </c>
      <c r="B277" s="650">
        <v>1410.5119081746079</v>
      </c>
      <c r="C277" s="650">
        <v>2006.3771881725013</v>
      </c>
      <c r="D277" s="650">
        <v>2323.1149294948505</v>
      </c>
      <c r="E277" s="650">
        <v>2594.9193762457485</v>
      </c>
      <c r="F277" s="650">
        <v>2854.4113138703237</v>
      </c>
      <c r="G277" s="650">
        <v>3102.7450981770421</v>
      </c>
    </row>
    <row r="278" spans="1:7">
      <c r="A278" s="332">
        <v>14450</v>
      </c>
      <c r="B278" s="650">
        <v>1413.3129355058607</v>
      </c>
      <c r="C278" s="650">
        <v>2010.1619378525518</v>
      </c>
      <c r="D278" s="650">
        <v>2327.3155606245846</v>
      </c>
      <c r="E278" s="650">
        <v>2599.6114812176611</v>
      </c>
      <c r="F278" s="650">
        <v>2859.5726293394277</v>
      </c>
      <c r="G278" s="650">
        <v>3108.3554480919579</v>
      </c>
    </row>
    <row r="279" spans="1:7">
      <c r="A279" s="332">
        <v>14500</v>
      </c>
      <c r="B279" s="650">
        <v>1415.9010821834916</v>
      </c>
      <c r="C279" s="650">
        <v>2013.6590430756219</v>
      </c>
      <c r="D279" s="650">
        <v>2331.1969399246254</v>
      </c>
      <c r="E279" s="650">
        <v>2603.9469818958069</v>
      </c>
      <c r="F279" s="650">
        <v>2864.3416800853879</v>
      </c>
      <c r="G279" s="650">
        <v>3113.5394062528167</v>
      </c>
    </row>
    <row r="280" spans="1:7">
      <c r="A280" s="332">
        <v>14550</v>
      </c>
      <c r="B280" s="650">
        <v>1418.4466118507717</v>
      </c>
      <c r="C280" s="650">
        <v>2017.0985641707225</v>
      </c>
      <c r="D280" s="650">
        <v>2335.0144075525673</v>
      </c>
      <c r="E280" s="650">
        <v>2608.2110932362179</v>
      </c>
      <c r="F280" s="650">
        <v>2869.0322025598402</v>
      </c>
      <c r="G280" s="650">
        <v>3118.6380041825464</v>
      </c>
    </row>
    <row r="281" spans="1:7">
      <c r="A281" s="332">
        <v>14600</v>
      </c>
      <c r="B281" s="650">
        <v>1420.9921415180518</v>
      </c>
      <c r="C281" s="650">
        <v>2020.5380852658229</v>
      </c>
      <c r="D281" s="650">
        <v>2338.8318751805091</v>
      </c>
      <c r="E281" s="650">
        <v>2612.4752045766286</v>
      </c>
      <c r="F281" s="650">
        <v>2873.7227250342921</v>
      </c>
      <c r="G281" s="650">
        <v>3123.7366021122757</v>
      </c>
    </row>
    <row r="282" spans="1:7">
      <c r="A282" s="332">
        <v>14650</v>
      </c>
      <c r="B282" s="650">
        <v>1423.5376711853319</v>
      </c>
      <c r="C282" s="650">
        <v>2023.9776063609236</v>
      </c>
      <c r="D282" s="650">
        <v>2342.6493428084509</v>
      </c>
      <c r="E282" s="650">
        <v>2616.7393159170401</v>
      </c>
      <c r="F282" s="650">
        <v>2878.4132475087445</v>
      </c>
      <c r="G282" s="650">
        <v>3128.835200042005</v>
      </c>
    </row>
    <row r="283" spans="1:7">
      <c r="A283" s="332">
        <v>14700</v>
      </c>
      <c r="B283" s="650">
        <v>1426.083200852612</v>
      </c>
      <c r="C283" s="650">
        <v>2027.417127456024</v>
      </c>
      <c r="D283" s="650">
        <v>2346.4668104363927</v>
      </c>
      <c r="E283" s="650">
        <v>2621.0034272574508</v>
      </c>
      <c r="F283" s="650">
        <v>2883.1037699831963</v>
      </c>
      <c r="G283" s="650">
        <v>3133.9337979717343</v>
      </c>
    </row>
    <row r="284" spans="1:7">
      <c r="A284" s="332">
        <v>14750</v>
      </c>
      <c r="B284" s="650">
        <v>1428.6287305198919</v>
      </c>
      <c r="C284" s="650">
        <v>2030.8566485511244</v>
      </c>
      <c r="D284" s="650">
        <v>2350.2842780643341</v>
      </c>
      <c r="E284" s="650">
        <v>2625.2675385978619</v>
      </c>
      <c r="F284" s="650">
        <v>2887.7942924576482</v>
      </c>
      <c r="G284" s="650">
        <v>3139.0323959014636</v>
      </c>
    </row>
    <row r="285" spans="1:7">
      <c r="A285" s="332">
        <v>14800</v>
      </c>
      <c r="B285" s="650">
        <v>1431.174260187172</v>
      </c>
      <c r="C285" s="650">
        <v>2034.2961696462248</v>
      </c>
      <c r="D285" s="650">
        <v>2354.1017456922759</v>
      </c>
      <c r="E285" s="650">
        <v>2629.5316499382725</v>
      </c>
      <c r="F285" s="650">
        <v>2892.4848149321001</v>
      </c>
      <c r="G285" s="650">
        <v>3144.1309938311929</v>
      </c>
    </row>
    <row r="286" spans="1:7">
      <c r="A286" s="332">
        <v>14850</v>
      </c>
      <c r="B286" s="650">
        <v>1433.7197898544521</v>
      </c>
      <c r="C286" s="650">
        <v>2037.735690741325</v>
      </c>
      <c r="D286" s="650">
        <v>2357.9192133202178</v>
      </c>
      <c r="E286" s="650">
        <v>2633.7957612786836</v>
      </c>
      <c r="F286" s="650">
        <v>2897.1753374065524</v>
      </c>
      <c r="G286" s="650">
        <v>3149.2295917609222</v>
      </c>
    </row>
    <row r="287" spans="1:7">
      <c r="A287" s="332">
        <v>14900</v>
      </c>
      <c r="B287" s="650">
        <v>1436.2653195217322</v>
      </c>
      <c r="C287" s="650">
        <v>2041.1752118364257</v>
      </c>
      <c r="D287" s="650">
        <v>2361.7366809481596</v>
      </c>
      <c r="E287" s="650">
        <v>2638.0598726190947</v>
      </c>
      <c r="F287" s="650">
        <v>2901.8658598810043</v>
      </c>
      <c r="G287" s="650">
        <v>3154.3281896906519</v>
      </c>
    </row>
    <row r="288" spans="1:7">
      <c r="A288" s="332">
        <v>14950</v>
      </c>
      <c r="B288" s="650">
        <v>1438.8108491890123</v>
      </c>
      <c r="C288" s="650">
        <v>2044.6147329315261</v>
      </c>
      <c r="D288" s="650">
        <v>2365.5541485761014</v>
      </c>
      <c r="E288" s="650">
        <v>2642.3239839595053</v>
      </c>
      <c r="F288" s="650">
        <v>2906.5563823554567</v>
      </c>
      <c r="G288" s="650">
        <v>3159.4267876203812</v>
      </c>
    </row>
    <row r="289" spans="1:7">
      <c r="A289" s="332">
        <v>15000</v>
      </c>
      <c r="B289" s="650">
        <v>1441.3563788562924</v>
      </c>
      <c r="C289" s="650">
        <v>2048.0542540266269</v>
      </c>
      <c r="D289" s="650">
        <v>2369.3716162040432</v>
      </c>
      <c r="E289" s="650">
        <v>2646.5880952999164</v>
      </c>
      <c r="F289" s="650">
        <v>2911.2469048299085</v>
      </c>
      <c r="G289" s="650">
        <v>3164.525385550111</v>
      </c>
    </row>
    <row r="290" spans="1:7">
      <c r="A290" s="333">
        <v>15050</v>
      </c>
      <c r="B290" s="650">
        <v>1443.9019085235725</v>
      </c>
      <c r="C290" s="650">
        <v>2051.4937751217271</v>
      </c>
      <c r="D290" s="650">
        <v>2373.189083831985</v>
      </c>
      <c r="E290" s="650">
        <v>2650.8522066403275</v>
      </c>
      <c r="F290" s="650">
        <v>2915.9374273043604</v>
      </c>
      <c r="G290" s="650">
        <v>3169.6239834798398</v>
      </c>
    </row>
    <row r="291" spans="1:7">
      <c r="A291" s="332">
        <v>15100</v>
      </c>
      <c r="B291" s="650">
        <v>1446.4474381908524</v>
      </c>
      <c r="C291" s="650">
        <v>2054.9332962168273</v>
      </c>
      <c r="D291" s="650">
        <v>2377.0065514599264</v>
      </c>
      <c r="E291" s="650">
        <v>2655.1163179807381</v>
      </c>
      <c r="F291" s="650">
        <v>2920.6279497788128</v>
      </c>
      <c r="G291" s="650">
        <v>3174.7225814095691</v>
      </c>
    </row>
    <row r="292" spans="1:7">
      <c r="A292" s="332">
        <v>15150</v>
      </c>
      <c r="B292" s="650">
        <v>1448.9929678581325</v>
      </c>
      <c r="C292" s="650">
        <v>2058.372817311928</v>
      </c>
      <c r="D292" s="650">
        <v>2380.8240190878682</v>
      </c>
      <c r="E292" s="650">
        <v>2659.3804293211492</v>
      </c>
      <c r="F292" s="650">
        <v>2925.3184722532646</v>
      </c>
      <c r="G292" s="650">
        <v>3179.8211793392984</v>
      </c>
    </row>
    <row r="293" spans="1:7">
      <c r="A293" s="332">
        <v>15200</v>
      </c>
      <c r="B293" s="650">
        <v>1451.5384975254126</v>
      </c>
      <c r="C293" s="650">
        <v>2061.8123384070282</v>
      </c>
      <c r="D293" s="650">
        <v>2384.6414867158101</v>
      </c>
      <c r="E293" s="650">
        <v>2663.6445406615599</v>
      </c>
      <c r="F293" s="650">
        <v>2930.0089947277165</v>
      </c>
      <c r="G293" s="650">
        <v>3184.9197772690277</v>
      </c>
    </row>
    <row r="294" spans="1:7">
      <c r="A294" s="332">
        <v>15250</v>
      </c>
      <c r="B294" s="650">
        <v>1454.0840271926929</v>
      </c>
      <c r="C294" s="650">
        <v>2065.2518595021293</v>
      </c>
      <c r="D294" s="650">
        <v>2388.4589543437523</v>
      </c>
      <c r="E294" s="650">
        <v>2667.9086520019714</v>
      </c>
      <c r="F294" s="650">
        <v>2934.6995172021689</v>
      </c>
      <c r="G294" s="650">
        <v>3190.0183751987579</v>
      </c>
    </row>
    <row r="295" spans="1:7">
      <c r="A295" s="332">
        <v>15300</v>
      </c>
      <c r="B295" s="650">
        <v>1456.6295568599728</v>
      </c>
      <c r="C295" s="650">
        <v>2068.6913805972295</v>
      </c>
      <c r="D295" s="650">
        <v>2392.2764219716937</v>
      </c>
      <c r="E295" s="650">
        <v>2672.1727633423825</v>
      </c>
      <c r="F295" s="650">
        <v>2939.3900396766212</v>
      </c>
      <c r="G295" s="650">
        <v>3195.1169731284872</v>
      </c>
    </row>
    <row r="296" spans="1:7">
      <c r="A296" s="332">
        <v>15350</v>
      </c>
      <c r="B296" s="650">
        <v>1459.1750865272529</v>
      </c>
      <c r="C296" s="650">
        <v>2072.1309016923301</v>
      </c>
      <c r="D296" s="650">
        <v>2396.0938895996355</v>
      </c>
      <c r="E296" s="650">
        <v>2676.4368746827931</v>
      </c>
      <c r="F296" s="650">
        <v>2944.0805621510731</v>
      </c>
      <c r="G296" s="650">
        <v>3200.2155710582165</v>
      </c>
    </row>
    <row r="297" spans="1:7">
      <c r="A297" s="332">
        <v>15400</v>
      </c>
      <c r="B297" s="650">
        <v>1461.720616194533</v>
      </c>
      <c r="C297" s="650">
        <v>2075.5704227874303</v>
      </c>
      <c r="D297" s="650">
        <v>2399.9113572275774</v>
      </c>
      <c r="E297" s="650">
        <v>2680.7009860232042</v>
      </c>
      <c r="F297" s="650">
        <v>2948.771084625525</v>
      </c>
      <c r="G297" s="650">
        <v>3205.3141689879458</v>
      </c>
    </row>
    <row r="298" spans="1:7">
      <c r="A298" s="332">
        <v>15450</v>
      </c>
      <c r="B298" s="650">
        <v>1464.2661458618129</v>
      </c>
      <c r="C298" s="650">
        <v>2079.0099438825309</v>
      </c>
      <c r="D298" s="650">
        <v>2403.7288248555187</v>
      </c>
      <c r="E298" s="650">
        <v>2684.9650973636149</v>
      </c>
      <c r="F298" s="650">
        <v>2953.4616070999768</v>
      </c>
      <c r="G298" s="650">
        <v>3210.4127669176751</v>
      </c>
    </row>
    <row r="299" spans="1:7">
      <c r="A299" s="332">
        <v>15500</v>
      </c>
      <c r="B299" s="650">
        <v>1466.8116755290932</v>
      </c>
      <c r="C299" s="650">
        <v>2082.4494649776316</v>
      </c>
      <c r="D299" s="650">
        <v>2407.546292483461</v>
      </c>
      <c r="E299" s="650">
        <v>2689.229208704026</v>
      </c>
      <c r="F299" s="650">
        <v>2958.1521295744292</v>
      </c>
      <c r="G299" s="650">
        <v>3215.5113648474044</v>
      </c>
    </row>
    <row r="300" spans="1:7">
      <c r="A300" s="332">
        <v>15550</v>
      </c>
      <c r="B300" s="650">
        <v>1469.3572051963731</v>
      </c>
      <c r="C300" s="650">
        <v>2085.8889860727318</v>
      </c>
      <c r="D300" s="650">
        <v>2411.3637601114024</v>
      </c>
      <c r="E300" s="650">
        <v>2693.493320044437</v>
      </c>
      <c r="F300" s="650">
        <v>2962.8426520488811</v>
      </c>
      <c r="G300" s="650">
        <v>3220.6099627771337</v>
      </c>
    </row>
    <row r="301" spans="1:7">
      <c r="A301" s="332">
        <v>15600</v>
      </c>
      <c r="B301" s="650">
        <v>1471.9027348636532</v>
      </c>
      <c r="C301" s="650">
        <v>2089.328507167832</v>
      </c>
      <c r="D301" s="650">
        <v>2415.1812277393442</v>
      </c>
      <c r="E301" s="650">
        <v>2697.7574313848477</v>
      </c>
      <c r="F301" s="650">
        <v>2967.5331745233329</v>
      </c>
      <c r="G301" s="650">
        <v>3225.708560706863</v>
      </c>
    </row>
    <row r="302" spans="1:7">
      <c r="A302" s="332">
        <v>15650</v>
      </c>
      <c r="B302" s="650">
        <v>1474.4482645309333</v>
      </c>
      <c r="C302" s="650">
        <v>2092.7680282629326</v>
      </c>
      <c r="D302" s="650">
        <v>2418.998695367286</v>
      </c>
      <c r="E302" s="650">
        <v>2702.0215427252588</v>
      </c>
      <c r="F302" s="650">
        <v>2972.2236969977853</v>
      </c>
      <c r="G302" s="650">
        <v>3230.8071586365927</v>
      </c>
    </row>
    <row r="303" spans="1:7">
      <c r="A303" s="332">
        <v>15700</v>
      </c>
      <c r="B303" s="650">
        <v>1476.9937941982134</v>
      </c>
      <c r="C303" s="650">
        <v>2096.2075493580332</v>
      </c>
      <c r="D303" s="650">
        <v>2422.8161629952278</v>
      </c>
      <c r="E303" s="650">
        <v>2706.2856540656699</v>
      </c>
      <c r="F303" s="650">
        <v>2976.9142194722372</v>
      </c>
      <c r="G303" s="650">
        <v>3235.905756566322</v>
      </c>
    </row>
    <row r="304" spans="1:7">
      <c r="A304" s="332">
        <v>15750</v>
      </c>
      <c r="B304" s="650">
        <v>1479.5393238654935</v>
      </c>
      <c r="C304" s="650">
        <v>2099.6470704531334</v>
      </c>
      <c r="D304" s="650">
        <v>2426.6336306231697</v>
      </c>
      <c r="E304" s="650">
        <v>2710.5497654060805</v>
      </c>
      <c r="F304" s="650">
        <v>2981.604741946689</v>
      </c>
      <c r="G304" s="650">
        <v>3241.0043544960513</v>
      </c>
    </row>
    <row r="305" spans="1:7">
      <c r="A305" s="332">
        <v>15800</v>
      </c>
      <c r="B305" s="650">
        <v>1482.0848535327734</v>
      </c>
      <c r="C305" s="650">
        <v>2103.0865915482341</v>
      </c>
      <c r="D305" s="650">
        <v>2430.451098251111</v>
      </c>
      <c r="E305" s="650">
        <v>2714.8138767464916</v>
      </c>
      <c r="F305" s="650">
        <v>2986.2952644211414</v>
      </c>
      <c r="G305" s="650">
        <v>3246.1029524257806</v>
      </c>
    </row>
    <row r="306" spans="1:7">
      <c r="A306" s="332">
        <v>15850</v>
      </c>
      <c r="B306" s="650">
        <v>1484.6303832000535</v>
      </c>
      <c r="C306" s="650">
        <v>2106.5261126433347</v>
      </c>
      <c r="D306" s="650">
        <v>2434.2685658790533</v>
      </c>
      <c r="E306" s="650">
        <v>2719.0779880869027</v>
      </c>
      <c r="F306" s="650">
        <v>2990.9857868955933</v>
      </c>
      <c r="G306" s="650">
        <v>3251.2015503555099</v>
      </c>
    </row>
    <row r="307" spans="1:7">
      <c r="A307" s="332">
        <v>15900</v>
      </c>
      <c r="B307" s="650">
        <v>1487.1759128673339</v>
      </c>
      <c r="C307" s="650">
        <v>2109.9656337384354</v>
      </c>
      <c r="D307" s="650">
        <v>2438.0860335069951</v>
      </c>
      <c r="E307" s="650">
        <v>2723.3420994273138</v>
      </c>
      <c r="F307" s="650">
        <v>2995.6763093700456</v>
      </c>
      <c r="G307" s="650">
        <v>3256.3001482852396</v>
      </c>
    </row>
    <row r="308" spans="1:7">
      <c r="A308" s="332">
        <v>15950</v>
      </c>
      <c r="B308" s="650">
        <v>1489.7214425346137</v>
      </c>
      <c r="C308" s="650">
        <v>2113.4051548335356</v>
      </c>
      <c r="D308" s="650">
        <v>2441.903501134937</v>
      </c>
      <c r="E308" s="650">
        <v>2727.6062107677249</v>
      </c>
      <c r="F308" s="650">
        <v>3000.3668318444975</v>
      </c>
      <c r="G308" s="650">
        <v>3261.3987462149689</v>
      </c>
    </row>
    <row r="309" spans="1:7">
      <c r="A309" s="332">
        <v>16000</v>
      </c>
      <c r="B309" s="650">
        <v>1492.2669722018939</v>
      </c>
      <c r="C309" s="650">
        <v>2116.8446759286362</v>
      </c>
      <c r="D309" s="650">
        <v>2445.7209687628783</v>
      </c>
      <c r="E309" s="650">
        <v>2731.8703221081355</v>
      </c>
      <c r="F309" s="650">
        <v>3005.0573543189494</v>
      </c>
      <c r="G309" s="650">
        <v>3266.4973441446982</v>
      </c>
    </row>
    <row r="310" spans="1:7">
      <c r="A310" s="332">
        <v>16050</v>
      </c>
      <c r="B310" s="650">
        <v>1494.812501869174</v>
      </c>
      <c r="C310" s="650">
        <v>2120.2841970237364</v>
      </c>
      <c r="D310" s="650">
        <v>2449.5384363908202</v>
      </c>
      <c r="E310" s="650">
        <v>2736.1344334485466</v>
      </c>
      <c r="F310" s="650">
        <v>3009.7478767934017</v>
      </c>
      <c r="G310" s="650">
        <v>3271.5959420744275</v>
      </c>
    </row>
    <row r="311" spans="1:7">
      <c r="A311" s="332">
        <v>16100</v>
      </c>
      <c r="B311" s="650">
        <v>1497.3580315364538</v>
      </c>
      <c r="C311" s="650">
        <v>2123.7237181188366</v>
      </c>
      <c r="D311" s="650">
        <v>2453.355904018762</v>
      </c>
      <c r="E311" s="650">
        <v>2740.3985447889572</v>
      </c>
      <c r="F311" s="650">
        <v>3014.4383992678536</v>
      </c>
      <c r="G311" s="650">
        <v>3276.6945400041568</v>
      </c>
    </row>
    <row r="312" spans="1:7">
      <c r="A312" s="332">
        <v>16150</v>
      </c>
      <c r="B312" s="650">
        <v>1499.9035612037342</v>
      </c>
      <c r="C312" s="650">
        <v>2127.1632392139372</v>
      </c>
      <c r="D312" s="650">
        <v>2457.1733716467038</v>
      </c>
      <c r="E312" s="650">
        <v>2744.6626561293683</v>
      </c>
      <c r="F312" s="650">
        <v>3019.1289217423059</v>
      </c>
      <c r="G312" s="650">
        <v>3281.7931379338866</v>
      </c>
    </row>
    <row r="313" spans="1:7">
      <c r="A313" s="332">
        <v>16200</v>
      </c>
      <c r="B313" s="650">
        <v>1502.4490908710141</v>
      </c>
      <c r="C313" s="650">
        <v>2130.6027603090379</v>
      </c>
      <c r="D313" s="650">
        <v>2460.9908392746456</v>
      </c>
      <c r="E313" s="650">
        <v>2748.9267674697794</v>
      </c>
      <c r="F313" s="650">
        <v>3023.8194442167578</v>
      </c>
      <c r="G313" s="650">
        <v>3286.8917358636154</v>
      </c>
    </row>
    <row r="314" spans="1:7">
      <c r="A314" s="332">
        <v>16250</v>
      </c>
      <c r="B314" s="650">
        <v>1504.9946205382944</v>
      </c>
      <c r="C314" s="650">
        <v>2134.0422814041385</v>
      </c>
      <c r="D314" s="650">
        <v>2464.8083069025874</v>
      </c>
      <c r="E314" s="650">
        <v>2753.1908788101905</v>
      </c>
      <c r="F314" s="650">
        <v>3028.5099666912101</v>
      </c>
      <c r="G314" s="650">
        <v>3291.9903337933451</v>
      </c>
    </row>
    <row r="315" spans="1:7">
      <c r="A315" s="332">
        <v>16300</v>
      </c>
      <c r="B315" s="650">
        <v>1507.5437899276703</v>
      </c>
      <c r="C315" s="650">
        <v>2137.4894380915684</v>
      </c>
      <c r="D315" s="650">
        <v>2468.6367397604758</v>
      </c>
      <c r="E315" s="650">
        <v>2757.4672383124516</v>
      </c>
      <c r="F315" s="650">
        <v>3033.2139621436968</v>
      </c>
      <c r="G315" s="650">
        <v>3297.1035768501984</v>
      </c>
    </row>
    <row r="316" spans="1:7">
      <c r="A316" s="332">
        <v>16350</v>
      </c>
      <c r="B316" s="650">
        <v>1510.3580075940101</v>
      </c>
      <c r="C316" s="650">
        <v>2141.4926264037031</v>
      </c>
      <c r="D316" s="650">
        <v>2473.2636718518847</v>
      </c>
      <c r="E316" s="650">
        <v>2762.6355214585551</v>
      </c>
      <c r="F316" s="650">
        <v>3038.8990736044107</v>
      </c>
      <c r="G316" s="650">
        <v>3303.2832930079944</v>
      </c>
    </row>
    <row r="317" spans="1:7">
      <c r="A317" s="332">
        <v>16400</v>
      </c>
      <c r="B317" s="650">
        <v>1513.1722252603502</v>
      </c>
      <c r="C317" s="650">
        <v>2145.4958147158377</v>
      </c>
      <c r="D317" s="650">
        <v>2477.8906039432932</v>
      </c>
      <c r="E317" s="650">
        <v>2767.803804604659</v>
      </c>
      <c r="F317" s="650">
        <v>3044.5841850651245</v>
      </c>
      <c r="G317" s="650">
        <v>3309.4630091657905</v>
      </c>
    </row>
    <row r="318" spans="1:7">
      <c r="A318" s="332">
        <v>16450</v>
      </c>
      <c r="B318" s="650">
        <v>1515.98644292669</v>
      </c>
      <c r="C318" s="650">
        <v>2149.4990030279723</v>
      </c>
      <c r="D318" s="650">
        <v>2482.5175360347021</v>
      </c>
      <c r="E318" s="650">
        <v>2772.9720877507625</v>
      </c>
      <c r="F318" s="650">
        <v>3050.2692965258389</v>
      </c>
      <c r="G318" s="650">
        <v>3315.6427253235865</v>
      </c>
    </row>
    <row r="319" spans="1:7">
      <c r="A319" s="332">
        <v>16500</v>
      </c>
      <c r="B319" s="650">
        <v>1518.8006605930302</v>
      </c>
      <c r="C319" s="650">
        <v>2153.5021913401074</v>
      </c>
      <c r="D319" s="650">
        <v>2487.1444681261114</v>
      </c>
      <c r="E319" s="650">
        <v>2778.1403708968669</v>
      </c>
      <c r="F319" s="650">
        <v>3055.9544079865536</v>
      </c>
      <c r="G319" s="650">
        <v>3321.8224414813835</v>
      </c>
    </row>
    <row r="320" spans="1:7">
      <c r="A320" s="332">
        <v>16550</v>
      </c>
      <c r="B320" s="650">
        <v>1521.61487825937</v>
      </c>
      <c r="C320" s="650">
        <v>2157.505379652242</v>
      </c>
      <c r="D320" s="650">
        <v>2491.7714002175203</v>
      </c>
      <c r="E320" s="650">
        <v>2783.3086540429704</v>
      </c>
      <c r="F320" s="650">
        <v>3061.6395194472675</v>
      </c>
      <c r="G320" s="650">
        <v>3328.0021576391796</v>
      </c>
    </row>
    <row r="321" spans="1:7">
      <c r="A321" s="332">
        <v>16600</v>
      </c>
      <c r="B321" s="650">
        <v>1524.42909592571</v>
      </c>
      <c r="C321" s="650">
        <v>2161.5085679643767</v>
      </c>
      <c r="D321" s="650">
        <v>2496.3983323089292</v>
      </c>
      <c r="E321" s="650">
        <v>2788.4769371890739</v>
      </c>
      <c r="F321" s="650">
        <v>3067.3246309079814</v>
      </c>
      <c r="G321" s="650">
        <v>3334.1818737969757</v>
      </c>
    </row>
    <row r="322" spans="1:7">
      <c r="A322" s="332">
        <v>16650</v>
      </c>
      <c r="B322" s="650">
        <v>1527.2433135920498</v>
      </c>
      <c r="C322" s="650">
        <v>2165.5117562765113</v>
      </c>
      <c r="D322" s="650">
        <v>2501.0252644003381</v>
      </c>
      <c r="E322" s="650">
        <v>2793.6452203351778</v>
      </c>
      <c r="F322" s="650">
        <v>3073.0097423686952</v>
      </c>
      <c r="G322" s="650">
        <v>3340.3615899547717</v>
      </c>
    </row>
    <row r="323" spans="1:7">
      <c r="A323" s="332">
        <v>16700</v>
      </c>
      <c r="B323" s="650">
        <v>1530.0575312583899</v>
      </c>
      <c r="C323" s="650">
        <v>2169.5149445886459</v>
      </c>
      <c r="D323" s="650">
        <v>2505.652196491747</v>
      </c>
      <c r="E323" s="650">
        <v>2798.8135034812813</v>
      </c>
      <c r="F323" s="650">
        <v>3078.6948538294096</v>
      </c>
      <c r="G323" s="650">
        <v>3346.5413061125682</v>
      </c>
    </row>
    <row r="324" spans="1:7">
      <c r="A324" s="332">
        <v>16750</v>
      </c>
      <c r="B324" s="650">
        <v>1532.8717489247299</v>
      </c>
      <c r="C324" s="650">
        <v>2173.5181329007805</v>
      </c>
      <c r="D324" s="650">
        <v>2510.2791285831559</v>
      </c>
      <c r="E324" s="650">
        <v>2803.9817866273852</v>
      </c>
      <c r="F324" s="650">
        <v>3084.3799652901239</v>
      </c>
      <c r="G324" s="650">
        <v>3352.7210222703648</v>
      </c>
    </row>
    <row r="325" spans="1:7">
      <c r="A325" s="332">
        <v>16800</v>
      </c>
      <c r="B325" s="650">
        <v>1535.6859665910699</v>
      </c>
      <c r="C325" s="650">
        <v>2177.5213212129156</v>
      </c>
      <c r="D325" s="650">
        <v>2514.9060606745647</v>
      </c>
      <c r="E325" s="650">
        <v>2809.1500697734891</v>
      </c>
      <c r="F325" s="650">
        <v>3090.0650767508382</v>
      </c>
      <c r="G325" s="650">
        <v>3358.9007384281608</v>
      </c>
    </row>
    <row r="326" spans="1:7">
      <c r="A326" s="332">
        <v>16850</v>
      </c>
      <c r="B326" s="650">
        <v>1538.5001842574097</v>
      </c>
      <c r="C326" s="650">
        <v>2181.5245095250502</v>
      </c>
      <c r="D326" s="650">
        <v>2519.5329927659736</v>
      </c>
      <c r="E326" s="650">
        <v>2814.3183529195931</v>
      </c>
      <c r="F326" s="650">
        <v>3095.7501882115521</v>
      </c>
      <c r="G326" s="650">
        <v>3365.0804545859573</v>
      </c>
    </row>
    <row r="327" spans="1:7">
      <c r="A327" s="332">
        <v>16900</v>
      </c>
      <c r="B327" s="650">
        <v>1541.3144019237498</v>
      </c>
      <c r="C327" s="650">
        <v>2185.5276978371849</v>
      </c>
      <c r="D327" s="650">
        <v>2524.1599248573825</v>
      </c>
      <c r="E327" s="650">
        <v>2819.4866360656965</v>
      </c>
      <c r="F327" s="650">
        <v>3101.435299672266</v>
      </c>
      <c r="G327" s="650">
        <v>3371.2601707437534</v>
      </c>
    </row>
    <row r="328" spans="1:7">
      <c r="A328" s="332">
        <v>16950</v>
      </c>
      <c r="B328" s="650">
        <v>1544.1286195900896</v>
      </c>
      <c r="C328" s="650">
        <v>2189.5308861493195</v>
      </c>
      <c r="D328" s="650">
        <v>2528.7868569487914</v>
      </c>
      <c r="E328" s="650">
        <v>2824.6549192118</v>
      </c>
      <c r="F328" s="650">
        <v>3107.1204111329803</v>
      </c>
      <c r="G328" s="650">
        <v>3377.4398869015495</v>
      </c>
    </row>
    <row r="329" spans="1:7">
      <c r="A329" s="332">
        <v>17000</v>
      </c>
      <c r="B329" s="650">
        <v>1546.9428372564298</v>
      </c>
      <c r="C329" s="650">
        <v>2193.5340744614541</v>
      </c>
      <c r="D329" s="650">
        <v>2533.4137890402003</v>
      </c>
      <c r="E329" s="650">
        <v>2829.8232023579039</v>
      </c>
      <c r="F329" s="650">
        <v>3112.8055225936946</v>
      </c>
      <c r="G329" s="650">
        <v>3383.619603059346</v>
      </c>
    </row>
    <row r="330" spans="1:7">
      <c r="A330" s="332">
        <v>17050</v>
      </c>
      <c r="B330" s="650">
        <v>1549.7570549227696</v>
      </c>
      <c r="C330" s="650">
        <v>2197.5372627735887</v>
      </c>
      <c r="D330" s="650">
        <v>2538.0407211316092</v>
      </c>
      <c r="E330" s="650">
        <v>2834.9914855040079</v>
      </c>
      <c r="F330" s="650">
        <v>3118.4906340544085</v>
      </c>
      <c r="G330" s="650">
        <v>3389.7993192171421</v>
      </c>
    </row>
    <row r="331" spans="1:7">
      <c r="A331" s="332">
        <v>17100</v>
      </c>
      <c r="B331" s="650">
        <v>1552.5712725891094</v>
      </c>
      <c r="C331" s="650">
        <v>2201.5404510857234</v>
      </c>
      <c r="D331" s="650">
        <v>2542.6676532230181</v>
      </c>
      <c r="E331" s="650">
        <v>2840.1597686501113</v>
      </c>
      <c r="F331" s="650">
        <v>3124.1757455151223</v>
      </c>
      <c r="G331" s="650">
        <v>3395.9790353749381</v>
      </c>
    </row>
    <row r="332" spans="1:7">
      <c r="A332" s="332">
        <v>17150</v>
      </c>
      <c r="B332" s="650">
        <v>1555.3854902554494</v>
      </c>
      <c r="C332" s="650">
        <v>2205.5436393978584</v>
      </c>
      <c r="D332" s="650">
        <v>2547.294585314427</v>
      </c>
      <c r="E332" s="650">
        <v>2845.3280517962153</v>
      </c>
      <c r="F332" s="650">
        <v>3129.8608569758367</v>
      </c>
      <c r="G332" s="650">
        <v>3402.1587515327346</v>
      </c>
    </row>
    <row r="333" spans="1:7">
      <c r="A333" s="332">
        <v>17200</v>
      </c>
      <c r="B333" s="650">
        <v>1558.1997079217895</v>
      </c>
      <c r="C333" s="650">
        <v>2209.5468277099931</v>
      </c>
      <c r="D333" s="650">
        <v>2551.9215174058359</v>
      </c>
      <c r="E333" s="650">
        <v>2850.4963349423188</v>
      </c>
      <c r="F333" s="650">
        <v>3135.5459684365505</v>
      </c>
      <c r="G333" s="650">
        <v>3408.3384676905307</v>
      </c>
    </row>
    <row r="334" spans="1:7">
      <c r="A334" s="332">
        <v>17250</v>
      </c>
      <c r="B334" s="650">
        <v>1561.0139255881293</v>
      </c>
      <c r="C334" s="650">
        <v>2213.5500160221277</v>
      </c>
      <c r="D334" s="650">
        <v>2556.5484494972447</v>
      </c>
      <c r="E334" s="650">
        <v>2855.6646180884227</v>
      </c>
      <c r="F334" s="650">
        <v>3141.2310798972649</v>
      </c>
      <c r="G334" s="650">
        <v>3414.5181838483268</v>
      </c>
    </row>
    <row r="335" spans="1:7">
      <c r="A335" s="332">
        <v>17300</v>
      </c>
      <c r="B335" s="650">
        <v>1563.8281432544693</v>
      </c>
      <c r="C335" s="650">
        <v>2217.5532043342623</v>
      </c>
      <c r="D335" s="650">
        <v>2561.1753815886536</v>
      </c>
      <c r="E335" s="650">
        <v>2860.8329012345262</v>
      </c>
      <c r="F335" s="650">
        <v>3146.9161913579787</v>
      </c>
      <c r="G335" s="650">
        <v>3420.6979000061228</v>
      </c>
    </row>
    <row r="336" spans="1:7">
      <c r="A336" s="332">
        <v>17350</v>
      </c>
      <c r="B336" s="650">
        <v>1566.6423609208093</v>
      </c>
      <c r="C336" s="650">
        <v>2221.5563926463969</v>
      </c>
      <c r="D336" s="650">
        <v>2565.8023136800625</v>
      </c>
      <c r="E336" s="650">
        <v>2866.0011843806301</v>
      </c>
      <c r="F336" s="650">
        <v>3152.6013028186931</v>
      </c>
      <c r="G336" s="650">
        <v>3426.8776161639194</v>
      </c>
    </row>
    <row r="337" spans="1:7">
      <c r="A337" s="332">
        <v>17400</v>
      </c>
      <c r="B337" s="650">
        <v>1569.4565785871494</v>
      </c>
      <c r="C337" s="650">
        <v>2225.559580958532</v>
      </c>
      <c r="D337" s="650">
        <v>2570.4292457714719</v>
      </c>
      <c r="E337" s="650">
        <v>2871.169467526734</v>
      </c>
      <c r="F337" s="650">
        <v>3158.2864142794074</v>
      </c>
      <c r="G337" s="650">
        <v>3433.0573323217159</v>
      </c>
    </row>
    <row r="338" spans="1:7">
      <c r="A338" s="332">
        <v>17450</v>
      </c>
      <c r="B338" s="650">
        <v>1572.2707962534892</v>
      </c>
      <c r="C338" s="650">
        <v>2229.5627692706666</v>
      </c>
      <c r="D338" s="650">
        <v>2575.0561778628803</v>
      </c>
      <c r="E338" s="650">
        <v>2876.3377506728375</v>
      </c>
      <c r="F338" s="650">
        <v>3163.9715257401213</v>
      </c>
      <c r="G338" s="650">
        <v>3439.2370484795119</v>
      </c>
    </row>
    <row r="339" spans="1:7">
      <c r="A339" s="332">
        <v>17500</v>
      </c>
      <c r="B339" s="650">
        <v>1575.0850139198292</v>
      </c>
      <c r="C339" s="650">
        <v>2233.5659575828013</v>
      </c>
      <c r="D339" s="650">
        <v>2579.6831099542892</v>
      </c>
      <c r="E339" s="650">
        <v>2881.5060338189414</v>
      </c>
      <c r="F339" s="650">
        <v>3169.6566372008356</v>
      </c>
      <c r="G339" s="650">
        <v>3445.416764637308</v>
      </c>
    </row>
    <row r="340" spans="1:7">
      <c r="A340" s="332">
        <v>17550</v>
      </c>
      <c r="B340" s="650">
        <v>1577.899231586169</v>
      </c>
      <c r="C340" s="650">
        <v>2237.5691458949359</v>
      </c>
      <c r="D340" s="650">
        <v>2584.3100420456981</v>
      </c>
      <c r="E340" s="650">
        <v>2886.6743169650449</v>
      </c>
      <c r="F340" s="650">
        <v>3175.3417486615494</v>
      </c>
      <c r="G340" s="650">
        <v>3451.5964807951041</v>
      </c>
    </row>
    <row r="341" spans="1:7">
      <c r="A341" s="332">
        <v>17600</v>
      </c>
      <c r="B341" s="650">
        <v>1580.713449252509</v>
      </c>
      <c r="C341" s="650">
        <v>2241.5723342070705</v>
      </c>
      <c r="D341" s="650">
        <v>2588.936974137107</v>
      </c>
      <c r="E341" s="650">
        <v>2891.8426001111484</v>
      </c>
      <c r="F341" s="650">
        <v>3181.0268601222633</v>
      </c>
      <c r="G341" s="650">
        <v>3457.7761969529001</v>
      </c>
    </row>
    <row r="342" spans="1:7">
      <c r="A342" s="332">
        <v>17650</v>
      </c>
      <c r="B342" s="650">
        <v>1583.527666918849</v>
      </c>
      <c r="C342" s="650">
        <v>2245.5755225192052</v>
      </c>
      <c r="D342" s="650">
        <v>2593.5639062285159</v>
      </c>
      <c r="E342" s="650">
        <v>2897.0108832572528</v>
      </c>
      <c r="F342" s="650">
        <v>3186.7119715829776</v>
      </c>
      <c r="G342" s="650">
        <v>3463.9559131106967</v>
      </c>
    </row>
    <row r="343" spans="1:7">
      <c r="A343" s="332">
        <v>17700</v>
      </c>
      <c r="B343" s="650">
        <v>1586.3418845851888</v>
      </c>
      <c r="C343" s="650">
        <v>2249.5787108313398</v>
      </c>
      <c r="D343" s="650">
        <v>2598.1908383199248</v>
      </c>
      <c r="E343" s="650">
        <v>2902.1791664033562</v>
      </c>
      <c r="F343" s="650">
        <v>3192.397083043692</v>
      </c>
      <c r="G343" s="650">
        <v>3470.1356292684932</v>
      </c>
    </row>
    <row r="344" spans="1:7">
      <c r="A344" s="332">
        <v>17750</v>
      </c>
      <c r="B344" s="650">
        <v>1589.1561022515289</v>
      </c>
      <c r="C344" s="650">
        <v>2253.5818991434749</v>
      </c>
      <c r="D344" s="650">
        <v>2602.8177704113341</v>
      </c>
      <c r="E344" s="650">
        <v>2907.3474495494602</v>
      </c>
      <c r="F344" s="650">
        <v>3198.0821945044063</v>
      </c>
      <c r="G344" s="650">
        <v>3476.3153454262892</v>
      </c>
    </row>
    <row r="345" spans="1:7">
      <c r="A345" s="332">
        <v>17800</v>
      </c>
      <c r="B345" s="650">
        <v>1591.9703199178689</v>
      </c>
      <c r="C345" s="650">
        <v>2257.5850874556095</v>
      </c>
      <c r="D345" s="650">
        <v>2607.4447025027425</v>
      </c>
      <c r="E345" s="650">
        <v>2912.5157326955637</v>
      </c>
      <c r="F345" s="650">
        <v>3203.7673059651202</v>
      </c>
      <c r="G345" s="650">
        <v>3482.4950615840858</v>
      </c>
    </row>
    <row r="346" spans="1:7">
      <c r="A346" s="332">
        <v>17850</v>
      </c>
      <c r="B346" s="650">
        <v>1594.7845375842087</v>
      </c>
      <c r="C346" s="650">
        <v>2261.5882757677441</v>
      </c>
      <c r="D346" s="650">
        <v>2612.0716345941514</v>
      </c>
      <c r="E346" s="650">
        <v>2917.6840158416676</v>
      </c>
      <c r="F346" s="650">
        <v>3209.452417425834</v>
      </c>
      <c r="G346" s="650">
        <v>3488.6747777418818</v>
      </c>
    </row>
    <row r="347" spans="1:7">
      <c r="A347" s="332">
        <v>17900</v>
      </c>
      <c r="B347" s="650">
        <v>1597.5987552505487</v>
      </c>
      <c r="C347" s="650">
        <v>2265.5914640798787</v>
      </c>
      <c r="D347" s="650">
        <v>2616.6985666855603</v>
      </c>
      <c r="E347" s="650">
        <v>2922.8522989877711</v>
      </c>
      <c r="F347" s="650">
        <v>3215.1375288865479</v>
      </c>
      <c r="G347" s="650">
        <v>3494.8544938996779</v>
      </c>
    </row>
    <row r="348" spans="1:7">
      <c r="A348" s="332">
        <v>17950</v>
      </c>
      <c r="B348" s="650">
        <v>1600.4129729168885</v>
      </c>
      <c r="C348" s="650">
        <v>2269.5946523920134</v>
      </c>
      <c r="D348" s="650">
        <v>2621.3254987769692</v>
      </c>
      <c r="E348" s="650">
        <v>2928.0205821338745</v>
      </c>
      <c r="F348" s="650">
        <v>3220.8226403472622</v>
      </c>
      <c r="G348" s="650">
        <v>3501.034210057474</v>
      </c>
    </row>
    <row r="349" spans="1:7">
      <c r="A349" s="332">
        <v>18000</v>
      </c>
      <c r="B349" s="650">
        <v>1603.2271905832288</v>
      </c>
      <c r="C349" s="650">
        <v>2273.5978407041484</v>
      </c>
      <c r="D349" s="650">
        <v>2625.9524308683785</v>
      </c>
      <c r="E349" s="650">
        <v>2933.1888652799789</v>
      </c>
      <c r="F349" s="650">
        <v>3226.507751807977</v>
      </c>
      <c r="G349" s="650">
        <v>3507.2139262152709</v>
      </c>
    </row>
    <row r="350" spans="1:7">
      <c r="A350" s="332">
        <v>18050</v>
      </c>
      <c r="B350" s="650">
        <v>1606.0414082495686</v>
      </c>
      <c r="C350" s="650">
        <v>2277.6010290162831</v>
      </c>
      <c r="D350" s="650">
        <v>2630.5793629597874</v>
      </c>
      <c r="E350" s="650">
        <v>2938.3571484260824</v>
      </c>
      <c r="F350" s="650">
        <v>3232.1928632686909</v>
      </c>
      <c r="G350" s="650">
        <v>3513.393642373067</v>
      </c>
    </row>
    <row r="351" spans="1:7">
      <c r="A351" s="332">
        <v>18100</v>
      </c>
      <c r="B351" s="650">
        <v>1608.8556259159086</v>
      </c>
      <c r="C351" s="650">
        <v>2281.6042173284177</v>
      </c>
      <c r="D351" s="650">
        <v>2635.2062950511959</v>
      </c>
      <c r="E351" s="650">
        <v>2943.5254315721863</v>
      </c>
      <c r="F351" s="650">
        <v>3237.8779747294047</v>
      </c>
      <c r="G351" s="650">
        <v>3519.5733585308631</v>
      </c>
    </row>
    <row r="352" spans="1:7">
      <c r="A352" s="332">
        <v>18150</v>
      </c>
      <c r="B352" s="650">
        <v>1611.6698435822484</v>
      </c>
      <c r="C352" s="650">
        <v>2285.6074056405523</v>
      </c>
      <c r="D352" s="650">
        <v>2639.8332271426048</v>
      </c>
      <c r="E352" s="650">
        <v>2948.6937147182898</v>
      </c>
      <c r="F352" s="650">
        <v>3243.5630861901186</v>
      </c>
      <c r="G352" s="650">
        <v>3525.7530746886591</v>
      </c>
    </row>
    <row r="353" spans="1:7">
      <c r="A353" s="332">
        <v>18200</v>
      </c>
      <c r="B353" s="650">
        <v>1614.4840612485884</v>
      </c>
      <c r="C353" s="650">
        <v>2289.6105939526869</v>
      </c>
      <c r="D353" s="650">
        <v>2644.4601592340136</v>
      </c>
      <c r="E353" s="650">
        <v>2953.8619978643933</v>
      </c>
      <c r="F353" s="650">
        <v>3249.2481976508329</v>
      </c>
      <c r="G353" s="650">
        <v>3531.9327908464552</v>
      </c>
    </row>
    <row r="354" spans="1:7">
      <c r="A354" s="332">
        <v>18250</v>
      </c>
      <c r="B354" s="650">
        <v>1617.2982789149285</v>
      </c>
      <c r="C354" s="650">
        <v>2293.6137822648216</v>
      </c>
      <c r="D354" s="650">
        <v>2649.087091325423</v>
      </c>
      <c r="E354" s="650">
        <v>2959.0302810104972</v>
      </c>
      <c r="F354" s="650">
        <v>3254.9333091115473</v>
      </c>
      <c r="G354" s="650">
        <v>3538.1125070042517</v>
      </c>
    </row>
    <row r="355" spans="1:7">
      <c r="A355" s="332">
        <v>18300</v>
      </c>
      <c r="B355" s="650">
        <v>1620.1124965812683</v>
      </c>
      <c r="C355" s="650">
        <v>2297.6169705769562</v>
      </c>
      <c r="D355" s="650">
        <v>2653.7140234168314</v>
      </c>
      <c r="E355" s="650">
        <v>2964.1985641566012</v>
      </c>
      <c r="F355" s="650">
        <v>3260.6184205722611</v>
      </c>
      <c r="G355" s="650">
        <v>3544.2922231620478</v>
      </c>
    </row>
    <row r="356" spans="1:7">
      <c r="A356" s="332">
        <v>18350</v>
      </c>
      <c r="B356" s="650">
        <v>1622.9267142476083</v>
      </c>
      <c r="C356" s="650">
        <v>2301.6201588890908</v>
      </c>
      <c r="D356" s="650">
        <v>2658.3409555082403</v>
      </c>
      <c r="E356" s="650">
        <v>2969.3668473027046</v>
      </c>
      <c r="F356" s="650">
        <v>3266.303532032975</v>
      </c>
      <c r="G356" s="650">
        <v>3550.4719393198438</v>
      </c>
    </row>
    <row r="357" spans="1:7">
      <c r="A357" s="332">
        <v>18400</v>
      </c>
      <c r="B357" s="650">
        <v>1625.7409319139483</v>
      </c>
      <c r="C357" s="650">
        <v>2305.6233472012259</v>
      </c>
      <c r="D357" s="650">
        <v>2662.9678875996497</v>
      </c>
      <c r="E357" s="650">
        <v>2974.5351304488099</v>
      </c>
      <c r="F357" s="650">
        <v>3271.9886434936893</v>
      </c>
      <c r="G357" s="650">
        <v>3556.6516554776404</v>
      </c>
    </row>
    <row r="358" spans="1:7">
      <c r="A358" s="332">
        <v>18450</v>
      </c>
      <c r="B358" s="650">
        <v>1628.5551495802881</v>
      </c>
      <c r="C358" s="650">
        <v>2309.6265355133605</v>
      </c>
      <c r="D358" s="650">
        <v>2667.5948196910581</v>
      </c>
      <c r="E358" s="650">
        <v>2979.7034135949125</v>
      </c>
      <c r="F358" s="650">
        <v>3277.6737549544036</v>
      </c>
      <c r="G358" s="650">
        <v>3562.8313716354364</v>
      </c>
    </row>
    <row r="359" spans="1:7">
      <c r="A359" s="332">
        <v>18500</v>
      </c>
      <c r="B359" s="650">
        <v>1631.3693672466281</v>
      </c>
      <c r="C359" s="650">
        <v>2313.6297238254951</v>
      </c>
      <c r="D359" s="650">
        <v>2672.221751782467</v>
      </c>
      <c r="E359" s="650">
        <v>2984.871696741016</v>
      </c>
      <c r="F359" s="650">
        <v>3283.3588664151175</v>
      </c>
      <c r="G359" s="650">
        <v>3569.0110877932329</v>
      </c>
    </row>
    <row r="360" spans="1:7">
      <c r="A360" s="332">
        <v>18550</v>
      </c>
      <c r="B360" s="650">
        <v>1634.1835849129679</v>
      </c>
      <c r="C360" s="650">
        <v>2317.6329121376298</v>
      </c>
      <c r="D360" s="650">
        <v>2676.8486838738759</v>
      </c>
      <c r="E360" s="650">
        <v>2990.0399798871194</v>
      </c>
      <c r="F360" s="650">
        <v>3289.0439778758314</v>
      </c>
      <c r="G360" s="650">
        <v>3575.190803951029</v>
      </c>
    </row>
    <row r="361" spans="1:7">
      <c r="A361" s="332">
        <v>18600</v>
      </c>
      <c r="B361" s="650">
        <v>1636.997802579308</v>
      </c>
      <c r="C361" s="650">
        <v>2321.6361004497644</v>
      </c>
      <c r="D361" s="650">
        <v>2681.4756159652848</v>
      </c>
      <c r="E361" s="650">
        <v>2995.2082630332234</v>
      </c>
      <c r="F361" s="650">
        <v>3294.7290893365457</v>
      </c>
      <c r="G361" s="650">
        <v>3581.3705201088251</v>
      </c>
    </row>
    <row r="362" spans="1:7">
      <c r="A362" s="332">
        <v>18650</v>
      </c>
      <c r="B362" s="650">
        <v>1639.812020245648</v>
      </c>
      <c r="C362" s="650">
        <v>2325.6392887618995</v>
      </c>
      <c r="D362" s="650">
        <v>2686.1025480566941</v>
      </c>
      <c r="E362" s="650">
        <v>3000.3765461793273</v>
      </c>
      <c r="F362" s="650">
        <v>3300.41420079726</v>
      </c>
      <c r="G362" s="650">
        <v>3587.5502362666216</v>
      </c>
    </row>
    <row r="363" spans="1:7">
      <c r="A363" s="332">
        <v>18700</v>
      </c>
      <c r="B363" s="650">
        <v>1642.626237911988</v>
      </c>
      <c r="C363" s="650">
        <v>2329.6424770740341</v>
      </c>
      <c r="D363" s="650">
        <v>2690.729480148103</v>
      </c>
      <c r="E363" s="650">
        <v>3005.5448293254312</v>
      </c>
      <c r="F363" s="650">
        <v>3306.0993122579739</v>
      </c>
      <c r="G363" s="650">
        <v>3593.7299524244181</v>
      </c>
    </row>
    <row r="364" spans="1:7">
      <c r="A364" s="332">
        <v>18750</v>
      </c>
      <c r="B364" s="650">
        <v>1645.4404555783278</v>
      </c>
      <c r="C364" s="650">
        <v>2333.6456653861687</v>
      </c>
      <c r="D364" s="650">
        <v>2695.3564122395114</v>
      </c>
      <c r="E364" s="650">
        <v>3010.7131124715347</v>
      </c>
      <c r="F364" s="650">
        <v>3311.7844237186882</v>
      </c>
      <c r="G364" s="650">
        <v>3599.9096685822142</v>
      </c>
    </row>
    <row r="365" spans="1:7">
      <c r="A365" s="332">
        <v>18800</v>
      </c>
      <c r="B365" s="650">
        <v>1648.2546732446679</v>
      </c>
      <c r="C365" s="650">
        <v>2337.6488536983034</v>
      </c>
      <c r="D365" s="650">
        <v>2699.9833443309203</v>
      </c>
      <c r="E365" s="650">
        <v>3015.8813956176382</v>
      </c>
      <c r="F365" s="650">
        <v>3317.4695351794021</v>
      </c>
      <c r="G365" s="650">
        <v>3606.0893847400102</v>
      </c>
    </row>
    <row r="366" spans="1:7">
      <c r="A366" s="332">
        <v>18850</v>
      </c>
      <c r="B366" s="650">
        <v>1651.0688909110077</v>
      </c>
      <c r="C366" s="650">
        <v>2341.652042010438</v>
      </c>
      <c r="D366" s="650">
        <v>2704.6102764223292</v>
      </c>
      <c r="E366" s="650">
        <v>3021.0496787637421</v>
      </c>
      <c r="F366" s="650">
        <v>3323.154646640116</v>
      </c>
      <c r="G366" s="650">
        <v>3612.2691008978063</v>
      </c>
    </row>
    <row r="367" spans="1:7">
      <c r="A367" s="332">
        <v>18900</v>
      </c>
      <c r="B367" s="650">
        <v>1653.8831085773477</v>
      </c>
      <c r="C367" s="650">
        <v>2345.6552303225726</v>
      </c>
      <c r="D367" s="650">
        <v>2709.2372085137386</v>
      </c>
      <c r="E367" s="650">
        <v>3026.2179619098461</v>
      </c>
      <c r="F367" s="650">
        <v>3328.8397581008303</v>
      </c>
      <c r="G367" s="650">
        <v>3618.4488170556028</v>
      </c>
    </row>
    <row r="368" spans="1:7">
      <c r="A368" s="332">
        <v>18950</v>
      </c>
      <c r="B368" s="650">
        <v>1656.6973262436877</v>
      </c>
      <c r="C368" s="650">
        <v>2349.6584186347072</v>
      </c>
      <c r="D368" s="650">
        <v>2713.864140605147</v>
      </c>
      <c r="E368" s="650">
        <v>3031.3862450559495</v>
      </c>
      <c r="F368" s="650">
        <v>3334.5248695615446</v>
      </c>
      <c r="G368" s="650">
        <v>3624.6285332133989</v>
      </c>
    </row>
    <row r="369" spans="1:7">
      <c r="A369" s="332">
        <v>19000</v>
      </c>
      <c r="B369" s="650">
        <v>1659.5115439100277</v>
      </c>
      <c r="C369" s="650">
        <v>2353.6616069468423</v>
      </c>
      <c r="D369" s="650">
        <v>2718.4910726965563</v>
      </c>
      <c r="E369" s="650">
        <v>3036.5545282020535</v>
      </c>
      <c r="F369" s="650">
        <v>3340.2099810222589</v>
      </c>
      <c r="G369" s="650">
        <v>3630.8082493711954</v>
      </c>
    </row>
    <row r="370" spans="1:7">
      <c r="A370" s="332">
        <v>19050</v>
      </c>
      <c r="B370" s="650">
        <v>1662.3257615763675</v>
      </c>
      <c r="C370" s="650">
        <v>2357.6647952589769</v>
      </c>
      <c r="D370" s="650">
        <v>2723.1180047879652</v>
      </c>
      <c r="E370" s="650">
        <v>3041.7228113481569</v>
      </c>
      <c r="F370" s="650">
        <v>3345.8950924829728</v>
      </c>
      <c r="G370" s="650">
        <v>3636.9879655289915</v>
      </c>
    </row>
    <row r="371" spans="1:7">
      <c r="A371" s="332">
        <v>19100</v>
      </c>
      <c r="B371" s="650">
        <v>1665.1399792427076</v>
      </c>
      <c r="C371" s="650">
        <v>2361.6679835711116</v>
      </c>
      <c r="D371" s="650">
        <v>2727.7449368793737</v>
      </c>
      <c r="E371" s="650">
        <v>3046.8910944942609</v>
      </c>
      <c r="F371" s="650">
        <v>3351.5802039436867</v>
      </c>
      <c r="G371" s="650">
        <v>3643.1676816867875</v>
      </c>
    </row>
    <row r="372" spans="1:7">
      <c r="A372" s="332">
        <v>19150</v>
      </c>
      <c r="B372" s="650">
        <v>1667.9541969090474</v>
      </c>
      <c r="C372" s="650">
        <v>2365.6711718832462</v>
      </c>
      <c r="D372" s="650">
        <v>2732.3718689707825</v>
      </c>
      <c r="E372" s="650">
        <v>3052.0593776403643</v>
      </c>
      <c r="F372" s="650">
        <v>3357.265315404401</v>
      </c>
      <c r="G372" s="650">
        <v>3649.3473978445836</v>
      </c>
    </row>
    <row r="373" spans="1:7">
      <c r="A373" s="332">
        <v>19200</v>
      </c>
      <c r="B373" s="650">
        <v>1670.7684145753874</v>
      </c>
      <c r="C373" s="650">
        <v>2369.6743601953808</v>
      </c>
      <c r="D373" s="650">
        <v>2736.9988010621914</v>
      </c>
      <c r="E373" s="650">
        <v>3057.2276607864678</v>
      </c>
      <c r="F373" s="650">
        <v>3362.9504268651149</v>
      </c>
      <c r="G373" s="650">
        <v>3655.5271140023797</v>
      </c>
    </row>
    <row r="374" spans="1:7">
      <c r="A374" s="332">
        <v>19250</v>
      </c>
      <c r="B374" s="650">
        <v>1673.5826322417274</v>
      </c>
      <c r="C374" s="650">
        <v>2373.6775485075159</v>
      </c>
      <c r="D374" s="650">
        <v>2741.6257331536008</v>
      </c>
      <c r="E374" s="650">
        <v>3062.3959439325722</v>
      </c>
      <c r="F374" s="650">
        <v>3368.6355383258297</v>
      </c>
      <c r="G374" s="650">
        <v>3661.7068301601767</v>
      </c>
    </row>
    <row r="375" spans="1:7">
      <c r="A375" s="332">
        <v>19300</v>
      </c>
      <c r="B375" s="650">
        <v>1676.3968499080675</v>
      </c>
      <c r="C375" s="650">
        <v>2377.6807368196505</v>
      </c>
      <c r="D375" s="650">
        <v>2746.2526652450097</v>
      </c>
      <c r="E375" s="650">
        <v>3067.5642270786757</v>
      </c>
      <c r="F375" s="650">
        <v>3374.3206497865435</v>
      </c>
      <c r="G375" s="650">
        <v>3667.8865463179727</v>
      </c>
    </row>
    <row r="376" spans="1:7">
      <c r="A376" s="332">
        <v>19350</v>
      </c>
      <c r="B376" s="650">
        <v>1679.2110675744073</v>
      </c>
      <c r="C376" s="650">
        <v>2381.6839251317851</v>
      </c>
      <c r="D376" s="650">
        <v>2750.8795973364186</v>
      </c>
      <c r="E376" s="650">
        <v>3072.7325102247796</v>
      </c>
      <c r="F376" s="650">
        <v>3380.0057612472574</v>
      </c>
      <c r="G376" s="650">
        <v>3674.0662624757688</v>
      </c>
    </row>
    <row r="377" spans="1:7">
      <c r="A377" s="332">
        <v>19400</v>
      </c>
      <c r="B377" s="650">
        <v>1682.0252852407473</v>
      </c>
      <c r="C377" s="650">
        <v>2385.6871134439198</v>
      </c>
      <c r="D377" s="650">
        <v>2755.5065294278274</v>
      </c>
      <c r="E377" s="650">
        <v>3077.9007933708831</v>
      </c>
      <c r="F377" s="650">
        <v>3385.6908727079717</v>
      </c>
      <c r="G377" s="650">
        <v>3680.2459786335648</v>
      </c>
    </row>
    <row r="378" spans="1:7">
      <c r="A378" s="332">
        <v>19450</v>
      </c>
      <c r="B378" s="650">
        <v>1684.3501721697642</v>
      </c>
      <c r="C378" s="650">
        <v>2388.9336952951153</v>
      </c>
      <c r="D378" s="650">
        <v>2759.1951228030362</v>
      </c>
      <c r="E378" s="650">
        <v>3082.0209521709912</v>
      </c>
      <c r="F378" s="650">
        <v>3390.22304738809</v>
      </c>
      <c r="G378" s="650">
        <v>3685.1724525108534</v>
      </c>
    </row>
    <row r="379" spans="1:7">
      <c r="A379" s="332">
        <v>19500</v>
      </c>
      <c r="B379" s="650">
        <v>1686.4554881690044</v>
      </c>
      <c r="C379" s="650">
        <v>2391.8407751051914</v>
      </c>
      <c r="D379" s="650">
        <v>2762.46266781842</v>
      </c>
      <c r="E379" s="650">
        <v>3085.670799953175</v>
      </c>
      <c r="F379" s="650">
        <v>3394.2378799484923</v>
      </c>
      <c r="G379" s="650">
        <v>3689.5365755040107</v>
      </c>
    </row>
    <row r="380" spans="1:7">
      <c r="A380" s="332">
        <v>19550</v>
      </c>
      <c r="B380" s="650">
        <v>1688.5608041682447</v>
      </c>
      <c r="C380" s="650">
        <v>2394.7478549152675</v>
      </c>
      <c r="D380" s="650">
        <v>2765.7302128338038</v>
      </c>
      <c r="E380" s="650">
        <v>3089.3206477353588</v>
      </c>
      <c r="F380" s="650">
        <v>3398.2527125088941</v>
      </c>
      <c r="G380" s="650">
        <v>3693.9006984971679</v>
      </c>
    </row>
    <row r="381" spans="1:7">
      <c r="A381" s="332">
        <v>19600</v>
      </c>
      <c r="B381" s="650">
        <v>1690.6661201674847</v>
      </c>
      <c r="C381" s="650">
        <v>2397.6549347253435</v>
      </c>
      <c r="D381" s="650">
        <v>2768.9977578491876</v>
      </c>
      <c r="E381" s="650">
        <v>3092.9704955175425</v>
      </c>
      <c r="F381" s="650">
        <v>3402.2675450692964</v>
      </c>
      <c r="G381" s="650">
        <v>3698.2648214903252</v>
      </c>
    </row>
    <row r="382" spans="1:7">
      <c r="A382" s="332">
        <v>19650</v>
      </c>
      <c r="B382" s="650">
        <v>1692.7714361667249</v>
      </c>
      <c r="C382" s="650">
        <v>2400.5620145354201</v>
      </c>
      <c r="D382" s="650">
        <v>2772.2653028645718</v>
      </c>
      <c r="E382" s="650">
        <v>3096.6203432997263</v>
      </c>
      <c r="F382" s="650">
        <v>3406.2823776296987</v>
      </c>
      <c r="G382" s="650">
        <v>3702.6289444834824</v>
      </c>
    </row>
    <row r="383" spans="1:7">
      <c r="A383" s="332">
        <v>19700</v>
      </c>
      <c r="B383" s="650">
        <v>1694.8767521659652</v>
      </c>
      <c r="C383" s="650">
        <v>2403.4690943454962</v>
      </c>
      <c r="D383" s="650">
        <v>2775.5328478799556</v>
      </c>
      <c r="E383" s="650">
        <v>3100.2701910819101</v>
      </c>
      <c r="F383" s="650">
        <v>3410.2972101901009</v>
      </c>
      <c r="G383" s="650">
        <v>3706.9930674766392</v>
      </c>
    </row>
    <row r="384" spans="1:7">
      <c r="A384" s="332">
        <v>19750</v>
      </c>
      <c r="B384" s="650">
        <v>1696.9820681652052</v>
      </c>
      <c r="C384" s="650">
        <v>2406.3761741555722</v>
      </c>
      <c r="D384" s="650">
        <v>2778.8003928953394</v>
      </c>
      <c r="E384" s="650">
        <v>3103.9200388640938</v>
      </c>
      <c r="F384" s="650">
        <v>3414.3120427505028</v>
      </c>
      <c r="G384" s="650">
        <v>3711.3571904697965</v>
      </c>
    </row>
    <row r="385" spans="1:7">
      <c r="A385" s="332">
        <v>19800</v>
      </c>
      <c r="B385" s="650">
        <v>1699.0873841644454</v>
      </c>
      <c r="C385" s="650">
        <v>2409.2832539656483</v>
      </c>
      <c r="D385" s="650">
        <v>2782.0679379107232</v>
      </c>
      <c r="E385" s="650">
        <v>3107.5698866462776</v>
      </c>
      <c r="F385" s="650">
        <v>3418.3268753109051</v>
      </c>
      <c r="G385" s="650">
        <v>3715.7213134629537</v>
      </c>
    </row>
    <row r="386" spans="1:7">
      <c r="A386" s="332">
        <v>19850</v>
      </c>
      <c r="B386" s="650">
        <v>1701.1927001636857</v>
      </c>
      <c r="C386" s="650">
        <v>2412.1903337757249</v>
      </c>
      <c r="D386" s="650">
        <v>2785.335482926107</v>
      </c>
      <c r="E386" s="650">
        <v>3111.2197344284614</v>
      </c>
      <c r="F386" s="650">
        <v>3422.3417078713073</v>
      </c>
      <c r="G386" s="650">
        <v>3720.085436456111</v>
      </c>
    </row>
    <row r="387" spans="1:7">
      <c r="A387" s="332">
        <v>19900</v>
      </c>
      <c r="B387" s="650">
        <v>1703.2980161629259</v>
      </c>
      <c r="C387" s="650">
        <v>2415.097413585801</v>
      </c>
      <c r="D387" s="650">
        <v>2788.6030279414913</v>
      </c>
      <c r="E387" s="650">
        <v>3114.8695822106456</v>
      </c>
      <c r="F387" s="650">
        <v>3426.3565404317096</v>
      </c>
      <c r="G387" s="650">
        <v>3724.4495594492682</v>
      </c>
    </row>
    <row r="388" spans="1:7">
      <c r="A388" s="332">
        <v>19950</v>
      </c>
      <c r="B388" s="650">
        <v>1705.403332162166</v>
      </c>
      <c r="C388" s="650">
        <v>2418.004493395877</v>
      </c>
      <c r="D388" s="650">
        <v>2791.8705729568751</v>
      </c>
      <c r="E388" s="650">
        <v>3118.5194299928289</v>
      </c>
      <c r="F388" s="650">
        <v>3430.3713729921119</v>
      </c>
      <c r="G388" s="650">
        <v>3728.8136824424255</v>
      </c>
    </row>
    <row r="389" spans="1:7">
      <c r="A389" s="332">
        <v>20000</v>
      </c>
      <c r="B389" s="650">
        <v>1707.5086481614062</v>
      </c>
      <c r="C389" s="650">
        <v>2420.9115732059531</v>
      </c>
      <c r="D389" s="650">
        <v>2795.1381179722589</v>
      </c>
      <c r="E389" s="650">
        <v>3122.1692777750127</v>
      </c>
      <c r="F389" s="650">
        <v>3434.3862055525137</v>
      </c>
      <c r="G389" s="650">
        <v>3733.1778054355823</v>
      </c>
    </row>
    <row r="390" spans="1:7">
      <c r="A390" s="332">
        <v>20050</v>
      </c>
      <c r="B390" s="650">
        <v>1709.6139641606462</v>
      </c>
      <c r="C390" s="650">
        <v>2423.8186530160292</v>
      </c>
      <c r="D390" s="650">
        <v>2798.4056629876427</v>
      </c>
      <c r="E390" s="650">
        <v>3125.8191255571965</v>
      </c>
      <c r="F390" s="650">
        <v>3438.401038112916</v>
      </c>
      <c r="G390" s="650">
        <v>3737.5419284287395</v>
      </c>
    </row>
    <row r="391" spans="1:7">
      <c r="A391" s="332">
        <v>20100</v>
      </c>
      <c r="B391" s="650">
        <v>1711.7192801598865</v>
      </c>
      <c r="C391" s="650">
        <v>2426.7257328261057</v>
      </c>
      <c r="D391" s="650">
        <v>2801.6732080030265</v>
      </c>
      <c r="E391" s="650">
        <v>3129.4689733393802</v>
      </c>
      <c r="F391" s="650">
        <v>3442.4158706733183</v>
      </c>
      <c r="G391" s="650">
        <v>3741.9060514218963</v>
      </c>
    </row>
    <row r="392" spans="1:7">
      <c r="A392" s="332">
        <v>20150</v>
      </c>
      <c r="B392" s="650">
        <v>1713.8245961591267</v>
      </c>
      <c r="C392" s="650">
        <v>2429.6328126361818</v>
      </c>
      <c r="D392" s="650">
        <v>2804.9407530184103</v>
      </c>
      <c r="E392" s="650">
        <v>3133.118821121564</v>
      </c>
      <c r="F392" s="650">
        <v>3446.4307032337206</v>
      </c>
      <c r="G392" s="650">
        <v>3746.270174415054</v>
      </c>
    </row>
    <row r="393" spans="1:7">
      <c r="A393" s="332">
        <v>20200</v>
      </c>
      <c r="B393" s="650">
        <v>1715.9299121583667</v>
      </c>
      <c r="C393" s="650">
        <v>2432.5398924462579</v>
      </c>
      <c r="D393" s="650">
        <v>2808.2082980337941</v>
      </c>
      <c r="E393" s="650">
        <v>3136.7686689037478</v>
      </c>
      <c r="F393" s="650">
        <v>3450.4455357941224</v>
      </c>
      <c r="G393" s="650">
        <v>3750.6342974082108</v>
      </c>
    </row>
    <row r="394" spans="1:7">
      <c r="A394" s="332">
        <v>20250</v>
      </c>
      <c r="B394" s="650">
        <v>1718.035228157607</v>
      </c>
      <c r="C394" s="650">
        <v>2435.4469722563344</v>
      </c>
      <c r="D394" s="650">
        <v>2811.4758430491784</v>
      </c>
      <c r="E394" s="650">
        <v>3140.418516685932</v>
      </c>
      <c r="F394" s="650">
        <v>3454.4603683545247</v>
      </c>
      <c r="G394" s="650">
        <v>3754.9984204013681</v>
      </c>
    </row>
    <row r="395" spans="1:7">
      <c r="A395" s="332">
        <v>20300</v>
      </c>
      <c r="B395" s="650">
        <v>1720.1405441568472</v>
      </c>
      <c r="C395" s="650">
        <v>2438.3540520664105</v>
      </c>
      <c r="D395" s="650">
        <v>2814.7433880645622</v>
      </c>
      <c r="E395" s="650">
        <v>3144.0683644681158</v>
      </c>
      <c r="F395" s="650">
        <v>3458.475200914927</v>
      </c>
      <c r="G395" s="650">
        <v>3759.3625433945253</v>
      </c>
    </row>
    <row r="396" spans="1:7">
      <c r="A396" s="332">
        <v>20350</v>
      </c>
      <c r="B396" s="650">
        <v>1722.2458601560872</v>
      </c>
      <c r="C396" s="650">
        <v>2441.2611318764866</v>
      </c>
      <c r="D396" s="650">
        <v>2818.010933079946</v>
      </c>
      <c r="E396" s="650">
        <v>3147.7182122502995</v>
      </c>
      <c r="F396" s="650">
        <v>3462.4900334753293</v>
      </c>
      <c r="G396" s="650">
        <v>3763.7266663876826</v>
      </c>
    </row>
    <row r="397" spans="1:7">
      <c r="A397" s="332">
        <v>20400</v>
      </c>
      <c r="B397" s="650">
        <v>1724.3511761553273</v>
      </c>
      <c r="C397" s="650">
        <v>2444.1682116865627</v>
      </c>
      <c r="D397" s="650">
        <v>2821.2784780953298</v>
      </c>
      <c r="E397" s="650">
        <v>3151.3680600324828</v>
      </c>
      <c r="F397" s="650">
        <v>3466.5048660357311</v>
      </c>
      <c r="G397" s="650">
        <v>3768.0907893808394</v>
      </c>
    </row>
    <row r="398" spans="1:7">
      <c r="A398" s="332">
        <v>20450</v>
      </c>
      <c r="B398" s="650">
        <v>1726.4564921545675</v>
      </c>
      <c r="C398" s="650">
        <v>2447.0752914966388</v>
      </c>
      <c r="D398" s="650">
        <v>2824.5460231107136</v>
      </c>
      <c r="E398" s="650">
        <v>3155.0179078146666</v>
      </c>
      <c r="F398" s="650">
        <v>3470.5196985961334</v>
      </c>
      <c r="G398" s="650">
        <v>3772.4549123739966</v>
      </c>
    </row>
    <row r="399" spans="1:7">
      <c r="A399" s="332">
        <v>20500</v>
      </c>
      <c r="B399" s="650">
        <v>1728.561808153808</v>
      </c>
      <c r="C399" s="650">
        <v>2449.9823713067153</v>
      </c>
      <c r="D399" s="650">
        <v>2827.8135681260978</v>
      </c>
      <c r="E399" s="650">
        <v>3158.6677555968508</v>
      </c>
      <c r="F399" s="650">
        <v>3474.5345311565356</v>
      </c>
      <c r="G399" s="650">
        <v>3776.8190353671544</v>
      </c>
    </row>
    <row r="400" spans="1:7">
      <c r="A400" s="332">
        <v>20550</v>
      </c>
      <c r="B400" s="650">
        <v>1730.667124153048</v>
      </c>
      <c r="C400" s="650">
        <v>2452.8894511167914</v>
      </c>
      <c r="D400" s="650">
        <v>2831.0811131414816</v>
      </c>
      <c r="E400" s="650">
        <v>3162.3176033790346</v>
      </c>
      <c r="F400" s="650">
        <v>3478.5493637169379</v>
      </c>
      <c r="G400" s="650">
        <v>3781.1831583603112</v>
      </c>
    </row>
    <row r="401" spans="1:7">
      <c r="A401" s="332">
        <v>20600</v>
      </c>
      <c r="B401" s="650">
        <v>1732.772440152288</v>
      </c>
      <c r="C401" s="650">
        <v>2455.7965309268675</v>
      </c>
      <c r="D401" s="650">
        <v>2834.3486581568654</v>
      </c>
      <c r="E401" s="650">
        <v>3165.9674511612184</v>
      </c>
      <c r="F401" s="650">
        <v>3482.5641962773402</v>
      </c>
      <c r="G401" s="650">
        <v>3785.5472813534684</v>
      </c>
    </row>
    <row r="402" spans="1:7">
      <c r="A402" s="332">
        <v>20650</v>
      </c>
      <c r="B402" s="650">
        <v>1734.8777561515283</v>
      </c>
      <c r="C402" s="650">
        <v>2458.7036107369436</v>
      </c>
      <c r="D402" s="650">
        <v>2837.6162031722492</v>
      </c>
      <c r="E402" s="650">
        <v>3169.6172989434021</v>
      </c>
      <c r="F402" s="650">
        <v>3486.579028837742</v>
      </c>
      <c r="G402" s="650">
        <v>3789.9114043466257</v>
      </c>
    </row>
    <row r="403" spans="1:7">
      <c r="A403" s="332">
        <v>20700</v>
      </c>
      <c r="B403" s="650">
        <v>1736.9830721507683</v>
      </c>
      <c r="C403" s="650">
        <v>2461.6106905470197</v>
      </c>
      <c r="D403" s="650">
        <v>2840.883748187633</v>
      </c>
      <c r="E403" s="650">
        <v>3173.2671467255859</v>
      </c>
      <c r="F403" s="650">
        <v>3490.5938613981443</v>
      </c>
      <c r="G403" s="650">
        <v>3794.2755273397825</v>
      </c>
    </row>
    <row r="404" spans="1:7">
      <c r="A404" s="332">
        <v>20750</v>
      </c>
      <c r="B404" s="650">
        <v>1739.0883881500085</v>
      </c>
      <c r="C404" s="650">
        <v>2464.5177703570962</v>
      </c>
      <c r="D404" s="650">
        <v>2844.1512932030168</v>
      </c>
      <c r="E404" s="650">
        <v>3176.9169945077697</v>
      </c>
      <c r="F404" s="650">
        <v>3494.6086939585466</v>
      </c>
      <c r="G404" s="650">
        <v>3798.6396503329397</v>
      </c>
    </row>
    <row r="405" spans="1:7">
      <c r="A405" s="332">
        <v>20800</v>
      </c>
      <c r="B405" s="650">
        <v>1741.1937041492488</v>
      </c>
      <c r="C405" s="650">
        <v>2467.4248501671723</v>
      </c>
      <c r="D405" s="650">
        <v>2847.4188382184007</v>
      </c>
      <c r="E405" s="650">
        <v>3180.5668422899535</v>
      </c>
      <c r="F405" s="650">
        <v>3498.6235265189484</v>
      </c>
      <c r="G405" s="650">
        <v>3803.003773326097</v>
      </c>
    </row>
    <row r="406" spans="1:7">
      <c r="A406" s="332">
        <v>20850</v>
      </c>
      <c r="B406" s="650">
        <v>1743.2990201484888</v>
      </c>
      <c r="C406" s="650">
        <v>2470.3319299772484</v>
      </c>
      <c r="D406" s="650">
        <v>2850.6863832337845</v>
      </c>
      <c r="E406" s="650">
        <v>3184.2166900721372</v>
      </c>
      <c r="F406" s="650">
        <v>3502.6383590793507</v>
      </c>
      <c r="G406" s="650">
        <v>3807.3678963192542</v>
      </c>
    </row>
    <row r="407" spans="1:7">
      <c r="A407" s="332">
        <v>20900</v>
      </c>
      <c r="B407" s="650">
        <v>1745.4043361477291</v>
      </c>
      <c r="C407" s="650">
        <v>2473.2390097873249</v>
      </c>
      <c r="D407" s="650">
        <v>2853.9539282491687</v>
      </c>
      <c r="E407" s="650">
        <v>3187.866537854321</v>
      </c>
      <c r="F407" s="650">
        <v>3506.653191639753</v>
      </c>
      <c r="G407" s="650">
        <v>3811.7320193124115</v>
      </c>
    </row>
    <row r="408" spans="1:7">
      <c r="A408" s="332">
        <v>20950</v>
      </c>
      <c r="B408" s="650">
        <v>1747.5096521469693</v>
      </c>
      <c r="C408" s="650">
        <v>2476.146089597401</v>
      </c>
      <c r="D408" s="650">
        <v>2857.2214732645525</v>
      </c>
      <c r="E408" s="650">
        <v>3191.5163856365048</v>
      </c>
      <c r="F408" s="650">
        <v>3510.6680242001553</v>
      </c>
      <c r="G408" s="650">
        <v>3816.0961423055683</v>
      </c>
    </row>
    <row r="409" spans="1:7">
      <c r="A409" s="332">
        <v>21000</v>
      </c>
      <c r="B409" s="650">
        <v>1749.6149681462093</v>
      </c>
      <c r="C409" s="650">
        <v>2479.0531694074771</v>
      </c>
      <c r="D409" s="650">
        <v>2860.4890182799363</v>
      </c>
      <c r="E409" s="650">
        <v>3195.1662334186885</v>
      </c>
      <c r="F409" s="650">
        <v>3514.6828567605571</v>
      </c>
      <c r="G409" s="650">
        <v>3820.4602652987255</v>
      </c>
    </row>
    <row r="410" spans="1:7">
      <c r="A410" s="332">
        <v>21050</v>
      </c>
      <c r="B410" s="650">
        <v>1751.7202841454496</v>
      </c>
      <c r="C410" s="650">
        <v>2481.9602492175532</v>
      </c>
      <c r="D410" s="650">
        <v>2863.7565632953201</v>
      </c>
      <c r="E410" s="650">
        <v>3198.8160812008723</v>
      </c>
      <c r="F410" s="650">
        <v>3518.6976893209594</v>
      </c>
      <c r="G410" s="650">
        <v>3824.8243882918828</v>
      </c>
    </row>
    <row r="411" spans="1:7">
      <c r="A411" s="332">
        <v>21100</v>
      </c>
      <c r="B411" s="650">
        <v>1753.8256001446898</v>
      </c>
      <c r="C411" s="650">
        <v>2484.8673290276292</v>
      </c>
      <c r="D411" s="650">
        <v>2867.0241083107039</v>
      </c>
      <c r="E411" s="650">
        <v>3202.4659289830561</v>
      </c>
      <c r="F411" s="650">
        <v>3522.7125218813617</v>
      </c>
      <c r="G411" s="650">
        <v>3829.18851128504</v>
      </c>
    </row>
    <row r="412" spans="1:7">
      <c r="A412" s="332">
        <v>21150</v>
      </c>
      <c r="B412" s="650">
        <v>1755.9309161439301</v>
      </c>
      <c r="C412" s="650">
        <v>2487.7744088377058</v>
      </c>
      <c r="D412" s="650">
        <v>2870.2916533260882</v>
      </c>
      <c r="E412" s="650">
        <v>3206.1157767652403</v>
      </c>
      <c r="F412" s="650">
        <v>3526.727354441764</v>
      </c>
      <c r="G412" s="650">
        <v>3833.5526342781973</v>
      </c>
    </row>
    <row r="413" spans="1:7">
      <c r="A413" s="332">
        <v>21200</v>
      </c>
      <c r="B413" s="650">
        <v>1758.0362321431701</v>
      </c>
      <c r="C413" s="650">
        <v>2490.6814886477819</v>
      </c>
      <c r="D413" s="650">
        <v>2873.559198341472</v>
      </c>
      <c r="E413" s="650">
        <v>3209.7656245474241</v>
      </c>
      <c r="F413" s="650">
        <v>3530.7421870021662</v>
      </c>
      <c r="G413" s="650">
        <v>3837.9167572713545</v>
      </c>
    </row>
    <row r="414" spans="1:7">
      <c r="A414" s="332">
        <v>21250</v>
      </c>
      <c r="B414" s="650">
        <v>1760.1415481424103</v>
      </c>
      <c r="C414" s="650">
        <v>2493.5885684578579</v>
      </c>
      <c r="D414" s="650">
        <v>2876.8267433568558</v>
      </c>
      <c r="E414" s="650">
        <v>3213.4154723296078</v>
      </c>
      <c r="F414" s="650">
        <v>3534.7570195625681</v>
      </c>
      <c r="G414" s="650">
        <v>3842.2808802645113</v>
      </c>
    </row>
    <row r="415" spans="1:7">
      <c r="A415" s="332">
        <v>21300</v>
      </c>
      <c r="B415" s="650">
        <v>1762.2468641416503</v>
      </c>
      <c r="C415" s="650">
        <v>2496.495648267934</v>
      </c>
      <c r="D415" s="650">
        <v>2880.0942883722396</v>
      </c>
      <c r="E415" s="650">
        <v>3217.0653201117912</v>
      </c>
      <c r="F415" s="650">
        <v>3538.7718521229704</v>
      </c>
      <c r="G415" s="650">
        <v>3846.6450032576686</v>
      </c>
    </row>
    <row r="416" spans="1:7">
      <c r="A416" s="332">
        <v>21350</v>
      </c>
      <c r="B416" s="650">
        <v>1764.3521801408906</v>
      </c>
      <c r="C416" s="650">
        <v>2499.4027280780101</v>
      </c>
      <c r="D416" s="650">
        <v>2883.3618333876234</v>
      </c>
      <c r="E416" s="650">
        <v>3220.7151678939749</v>
      </c>
      <c r="F416" s="650">
        <v>3542.7866846833722</v>
      </c>
      <c r="G416" s="650">
        <v>3851.0091262508258</v>
      </c>
    </row>
    <row r="417" spans="1:7">
      <c r="A417" s="332">
        <v>21400</v>
      </c>
      <c r="B417" s="650">
        <v>1766.4574961401308</v>
      </c>
      <c r="C417" s="650">
        <v>2502.3098078880867</v>
      </c>
      <c r="D417" s="650">
        <v>2886.6293784030072</v>
      </c>
      <c r="E417" s="650">
        <v>3224.3650156761591</v>
      </c>
      <c r="F417" s="650">
        <v>3546.8015172437749</v>
      </c>
      <c r="G417" s="650">
        <v>3855.3732492439831</v>
      </c>
    </row>
    <row r="418" spans="1:7">
      <c r="A418" s="332">
        <v>21450</v>
      </c>
      <c r="B418" s="650">
        <v>1768.5628121393709</v>
      </c>
      <c r="C418" s="650">
        <v>2505.2168876981627</v>
      </c>
      <c r="D418" s="650">
        <v>2889.896923418391</v>
      </c>
      <c r="E418" s="650">
        <v>3228.0148634583429</v>
      </c>
      <c r="F418" s="650">
        <v>3550.8163498041768</v>
      </c>
      <c r="G418" s="650">
        <v>3859.7373722371399</v>
      </c>
    </row>
    <row r="419" spans="1:7">
      <c r="A419" s="332">
        <v>21500</v>
      </c>
      <c r="B419" s="650">
        <v>1770.6681281386111</v>
      </c>
      <c r="C419" s="650">
        <v>2508.1239675082388</v>
      </c>
      <c r="D419" s="650">
        <v>2893.1644684337753</v>
      </c>
      <c r="E419" s="650">
        <v>3231.6647112405267</v>
      </c>
      <c r="F419" s="650">
        <v>3554.831182364579</v>
      </c>
      <c r="G419" s="650">
        <v>3864.1014952302976</v>
      </c>
    </row>
    <row r="420" spans="1:7">
      <c r="A420" s="332">
        <v>21550</v>
      </c>
      <c r="B420" s="650">
        <v>1772.7734441378514</v>
      </c>
      <c r="C420" s="650">
        <v>2511.0310473183149</v>
      </c>
      <c r="D420" s="650">
        <v>2896.4320134491591</v>
      </c>
      <c r="E420" s="650">
        <v>3235.3145590227105</v>
      </c>
      <c r="F420" s="650">
        <v>3558.8460149249813</v>
      </c>
      <c r="G420" s="650">
        <v>3868.4656182234544</v>
      </c>
    </row>
    <row r="421" spans="1:7">
      <c r="A421" s="332">
        <v>21600</v>
      </c>
      <c r="B421" s="650">
        <v>1774.8787601370914</v>
      </c>
      <c r="C421" s="650">
        <v>2513.938127128391</v>
      </c>
      <c r="D421" s="650">
        <v>2899.6995584645429</v>
      </c>
      <c r="E421" s="650">
        <v>3238.9644068048942</v>
      </c>
      <c r="F421" s="650">
        <v>3562.8608474853836</v>
      </c>
      <c r="G421" s="650">
        <v>3872.8297412166116</v>
      </c>
    </row>
    <row r="422" spans="1:7">
      <c r="A422" s="332">
        <v>21650</v>
      </c>
      <c r="B422" s="650">
        <v>1776.9840761363316</v>
      </c>
      <c r="C422" s="650">
        <v>2516.8452069384675</v>
      </c>
      <c r="D422" s="650">
        <v>2902.9671034799267</v>
      </c>
      <c r="E422" s="650">
        <v>3242.614254587078</v>
      </c>
      <c r="F422" s="650">
        <v>3566.8756800457854</v>
      </c>
      <c r="G422" s="650">
        <v>3877.1938642097684</v>
      </c>
    </row>
    <row r="423" spans="1:7">
      <c r="A423" s="332">
        <v>21700</v>
      </c>
      <c r="B423" s="650">
        <v>1779.0893921355716</v>
      </c>
      <c r="C423" s="650">
        <v>2519.7522867485436</v>
      </c>
      <c r="D423" s="650">
        <v>2906.2346484953105</v>
      </c>
      <c r="E423" s="650">
        <v>3246.2641023692618</v>
      </c>
      <c r="F423" s="650">
        <v>3570.8905126061877</v>
      </c>
      <c r="G423" s="650">
        <v>3881.5579872029257</v>
      </c>
    </row>
    <row r="424" spans="1:7">
      <c r="A424" s="332">
        <v>21750</v>
      </c>
      <c r="B424" s="650">
        <v>1781.1947081348119</v>
      </c>
      <c r="C424" s="650">
        <v>2522.6593665586197</v>
      </c>
      <c r="D424" s="650">
        <v>2909.5021935106943</v>
      </c>
      <c r="E424" s="650">
        <v>3249.9139501514455</v>
      </c>
      <c r="F424" s="650">
        <v>3574.90534516659</v>
      </c>
      <c r="G424" s="650">
        <v>3885.9221101960829</v>
      </c>
    </row>
    <row r="425" spans="1:7">
      <c r="A425" s="332">
        <v>21800</v>
      </c>
      <c r="B425" s="650">
        <v>1783.3000241340521</v>
      </c>
      <c r="C425" s="650">
        <v>2525.5664463686962</v>
      </c>
      <c r="D425" s="650">
        <v>2912.7697385260785</v>
      </c>
      <c r="E425" s="650">
        <v>3253.5637979336293</v>
      </c>
      <c r="F425" s="650">
        <v>3578.9201777269923</v>
      </c>
      <c r="G425" s="650">
        <v>3890.2862331892402</v>
      </c>
    </row>
    <row r="426" spans="1:7">
      <c r="A426" s="332">
        <v>21850</v>
      </c>
      <c r="B426" s="650">
        <v>1785.4053401332924</v>
      </c>
      <c r="C426" s="650">
        <v>2528.4735261787723</v>
      </c>
      <c r="D426" s="650">
        <v>2916.0372835414623</v>
      </c>
      <c r="E426" s="650">
        <v>3257.2136457158131</v>
      </c>
      <c r="F426" s="650">
        <v>3582.9350102873941</v>
      </c>
      <c r="G426" s="650">
        <v>3894.6503561823974</v>
      </c>
    </row>
    <row r="427" spans="1:7">
      <c r="A427" s="332">
        <v>21900</v>
      </c>
      <c r="B427" s="650">
        <v>1787.5106561325324</v>
      </c>
      <c r="C427" s="650">
        <v>2531.3806059888484</v>
      </c>
      <c r="D427" s="650">
        <v>2919.3048285568461</v>
      </c>
      <c r="E427" s="650">
        <v>3260.8634934979968</v>
      </c>
      <c r="F427" s="650">
        <v>3586.9498428477964</v>
      </c>
      <c r="G427" s="650">
        <v>3899.0144791755547</v>
      </c>
    </row>
    <row r="428" spans="1:7">
      <c r="A428" s="332">
        <v>21950</v>
      </c>
      <c r="B428" s="650">
        <v>1789.6159721317727</v>
      </c>
      <c r="C428" s="650">
        <v>2534.2876857989245</v>
      </c>
      <c r="D428" s="650">
        <v>2922.5723735722299</v>
      </c>
      <c r="E428" s="650">
        <v>3264.5133412801806</v>
      </c>
      <c r="F428" s="650">
        <v>3590.9646754081987</v>
      </c>
      <c r="G428" s="650">
        <v>3903.3786021687115</v>
      </c>
    </row>
    <row r="429" spans="1:7">
      <c r="A429" s="332">
        <v>22000</v>
      </c>
      <c r="B429" s="650">
        <v>1791.7212881310129</v>
      </c>
      <c r="C429" s="650">
        <v>2537.1947656090006</v>
      </c>
      <c r="D429" s="650">
        <v>2925.8399185876137</v>
      </c>
      <c r="E429" s="650">
        <v>3268.1631890623648</v>
      </c>
      <c r="F429" s="650">
        <v>3594.979507968601</v>
      </c>
      <c r="G429" s="650">
        <v>3907.7427251618687</v>
      </c>
    </row>
    <row r="430" spans="1:7">
      <c r="A430" s="332">
        <v>22050</v>
      </c>
      <c r="B430" s="650">
        <v>1793.8266041302529</v>
      </c>
      <c r="C430" s="650">
        <v>2540.1018454190771</v>
      </c>
      <c r="D430" s="650">
        <v>2929.107463602998</v>
      </c>
      <c r="E430" s="650">
        <v>3271.8130368445482</v>
      </c>
      <c r="F430" s="650">
        <v>3598.9943405290028</v>
      </c>
      <c r="G430" s="650">
        <v>3912.106848155026</v>
      </c>
    </row>
    <row r="431" spans="1:7">
      <c r="A431" s="332">
        <v>22100</v>
      </c>
      <c r="B431" s="650">
        <v>1795.9319201294929</v>
      </c>
      <c r="C431" s="650">
        <v>2543.0089252291532</v>
      </c>
      <c r="D431" s="650">
        <v>2932.3750086183818</v>
      </c>
      <c r="E431" s="650">
        <v>3275.4628846267319</v>
      </c>
      <c r="F431" s="650">
        <v>3603.0091730894051</v>
      </c>
      <c r="G431" s="650">
        <v>3916.4709711481833</v>
      </c>
    </row>
    <row r="432" spans="1:7">
      <c r="A432" s="332">
        <v>22150</v>
      </c>
      <c r="B432" s="650">
        <v>1798.0372361287332</v>
      </c>
      <c r="C432" s="650">
        <v>2545.9160050392293</v>
      </c>
      <c r="D432" s="650">
        <v>2935.6425536337656</v>
      </c>
      <c r="E432" s="650">
        <v>3279.1127324089161</v>
      </c>
      <c r="F432" s="650">
        <v>3607.0240056498073</v>
      </c>
      <c r="G432" s="650">
        <v>3920.8350941413405</v>
      </c>
    </row>
    <row r="433" spans="1:7">
      <c r="A433" s="332">
        <v>22200</v>
      </c>
      <c r="B433" s="650">
        <v>1800.1425521279734</v>
      </c>
      <c r="C433" s="650">
        <v>2548.8230848493054</v>
      </c>
      <c r="D433" s="650">
        <v>2938.9100986491494</v>
      </c>
      <c r="E433" s="650">
        <v>3282.7625801910999</v>
      </c>
      <c r="F433" s="650">
        <v>3611.0388382102096</v>
      </c>
      <c r="G433" s="650">
        <v>3925.1992171344973</v>
      </c>
    </row>
    <row r="434" spans="1:7">
      <c r="A434" s="332">
        <v>22250</v>
      </c>
      <c r="B434" s="650">
        <v>1802.2478681272135</v>
      </c>
      <c r="C434" s="650">
        <v>2551.7301646593814</v>
      </c>
      <c r="D434" s="650">
        <v>2942.1776436645332</v>
      </c>
      <c r="E434" s="650">
        <v>3286.4124279732832</v>
      </c>
      <c r="F434" s="650">
        <v>3615.0536707706115</v>
      </c>
      <c r="G434" s="650">
        <v>3929.5633401276546</v>
      </c>
    </row>
    <row r="435" spans="1:7">
      <c r="A435" s="332">
        <v>22300</v>
      </c>
      <c r="B435" s="650">
        <v>1804.3531841264537</v>
      </c>
      <c r="C435" s="650">
        <v>2554.6372444694575</v>
      </c>
      <c r="D435" s="650">
        <v>2945.445188679917</v>
      </c>
      <c r="E435" s="650">
        <v>3290.062275755467</v>
      </c>
      <c r="F435" s="650">
        <v>3619.0685033310137</v>
      </c>
      <c r="G435" s="650">
        <v>3933.9274631208118</v>
      </c>
    </row>
    <row r="436" spans="1:7">
      <c r="A436" s="332">
        <v>22350</v>
      </c>
      <c r="B436" s="650">
        <v>1806.4585001256939</v>
      </c>
      <c r="C436" s="650">
        <v>2557.5443242795341</v>
      </c>
      <c r="D436" s="650">
        <v>2948.7127336953008</v>
      </c>
      <c r="E436" s="650">
        <v>3293.7121235376512</v>
      </c>
      <c r="F436" s="650">
        <v>3623.083335891416</v>
      </c>
      <c r="G436" s="650">
        <v>3938.2915861139691</v>
      </c>
    </row>
    <row r="437" spans="1:7">
      <c r="A437" s="332">
        <v>22400</v>
      </c>
      <c r="B437" s="650">
        <v>1808.5638161249342</v>
      </c>
      <c r="C437" s="650">
        <v>2560.4514040896102</v>
      </c>
      <c r="D437" s="650">
        <v>2951.9802787106851</v>
      </c>
      <c r="E437" s="650">
        <v>3297.361971319835</v>
      </c>
      <c r="F437" s="650">
        <v>3627.0981684518183</v>
      </c>
      <c r="G437" s="650">
        <v>3942.6557091071263</v>
      </c>
    </row>
    <row r="438" spans="1:7">
      <c r="A438" s="332">
        <v>22450</v>
      </c>
      <c r="B438" s="650">
        <v>1810.6691321241742</v>
      </c>
      <c r="C438" s="650">
        <v>2563.3584838996862</v>
      </c>
      <c r="D438" s="650">
        <v>2955.2478237260689</v>
      </c>
      <c r="E438" s="650">
        <v>3301.0118191020188</v>
      </c>
      <c r="F438" s="650">
        <v>3631.1130010122206</v>
      </c>
      <c r="G438" s="650">
        <v>3947.0198321002836</v>
      </c>
    </row>
    <row r="439" spans="1:7">
      <c r="A439" s="332">
        <v>22500</v>
      </c>
      <c r="B439" s="650">
        <v>1812.7744481234145</v>
      </c>
      <c r="C439" s="650">
        <v>2566.2655637097628</v>
      </c>
      <c r="D439" s="650">
        <v>2958.5153687414527</v>
      </c>
      <c r="E439" s="650">
        <v>3304.6616668842025</v>
      </c>
      <c r="F439" s="650">
        <v>3635.1278335726224</v>
      </c>
      <c r="G439" s="650">
        <v>3951.3839550934404</v>
      </c>
    </row>
    <row r="440" spans="1:7">
      <c r="A440" s="332">
        <v>22550</v>
      </c>
      <c r="B440" s="650">
        <v>1814.8797641226545</v>
      </c>
      <c r="C440" s="650">
        <v>2569.1726435198389</v>
      </c>
      <c r="D440" s="650">
        <v>2961.7829137568365</v>
      </c>
      <c r="E440" s="650">
        <v>3308.3115146663863</v>
      </c>
      <c r="F440" s="650">
        <v>3639.1426661330247</v>
      </c>
      <c r="G440" s="650">
        <v>3955.7480780865976</v>
      </c>
    </row>
    <row r="441" spans="1:7">
      <c r="A441" s="332">
        <v>22600</v>
      </c>
      <c r="B441" s="650">
        <v>1816.9850801218947</v>
      </c>
      <c r="C441" s="650">
        <v>2572.0797233299149</v>
      </c>
      <c r="D441" s="650">
        <v>2965.0504587722203</v>
      </c>
      <c r="E441" s="650">
        <v>3311.9613624485701</v>
      </c>
      <c r="F441" s="650">
        <v>3643.1574986934265</v>
      </c>
      <c r="G441" s="650">
        <v>3960.1122010797544</v>
      </c>
    </row>
    <row r="442" spans="1:7">
      <c r="A442" s="332">
        <v>22650</v>
      </c>
      <c r="B442" s="650">
        <v>1819.090396121135</v>
      </c>
      <c r="C442" s="650">
        <v>2574.986803139991</v>
      </c>
      <c r="D442" s="650">
        <v>2968.3180037876045</v>
      </c>
      <c r="E442" s="650">
        <v>3315.6112102307538</v>
      </c>
      <c r="F442" s="650">
        <v>3647.1723312538288</v>
      </c>
      <c r="G442" s="650">
        <v>3964.4763240729121</v>
      </c>
    </row>
    <row r="443" spans="1:7">
      <c r="A443" s="332">
        <v>22700</v>
      </c>
      <c r="B443" s="650">
        <v>1821.195712120375</v>
      </c>
      <c r="C443" s="650">
        <v>2577.8938829500671</v>
      </c>
      <c r="D443" s="650">
        <v>2971.5855488029883</v>
      </c>
      <c r="E443" s="650">
        <v>3319.2610580129376</v>
      </c>
      <c r="F443" s="650">
        <v>3651.1871638142311</v>
      </c>
      <c r="G443" s="650">
        <v>3968.8404470660689</v>
      </c>
    </row>
    <row r="444" spans="1:7">
      <c r="A444" s="332">
        <v>22750</v>
      </c>
      <c r="B444" s="650">
        <v>1823.3010281196152</v>
      </c>
      <c r="C444" s="650">
        <v>2580.8009627601436</v>
      </c>
      <c r="D444" s="650">
        <v>2974.8530938183721</v>
      </c>
      <c r="E444" s="650">
        <v>3322.9109057951214</v>
      </c>
      <c r="F444" s="650">
        <v>3655.2019963746334</v>
      </c>
      <c r="G444" s="650">
        <v>3973.2045700592262</v>
      </c>
    </row>
    <row r="445" spans="1:7">
      <c r="A445" s="332">
        <v>22800</v>
      </c>
      <c r="B445" s="650">
        <v>1825.4063441188555</v>
      </c>
      <c r="C445" s="650">
        <v>2583.7080425702197</v>
      </c>
      <c r="D445" s="650">
        <v>2978.1206388337559</v>
      </c>
      <c r="E445" s="650">
        <v>3326.5607535773051</v>
      </c>
      <c r="F445" s="650">
        <v>3659.2168289350357</v>
      </c>
      <c r="G445" s="650">
        <v>3977.5686930523834</v>
      </c>
    </row>
    <row r="446" spans="1:7">
      <c r="A446" s="332">
        <v>22850</v>
      </c>
      <c r="B446" s="650">
        <v>1827.5116601180955</v>
      </c>
      <c r="C446" s="650">
        <v>2586.6151223802958</v>
      </c>
      <c r="D446" s="650">
        <v>2981.3881838491398</v>
      </c>
      <c r="E446" s="650">
        <v>3330.2106013594889</v>
      </c>
      <c r="F446" s="650">
        <v>3663.2316614954375</v>
      </c>
      <c r="G446" s="650">
        <v>3981.9328160455407</v>
      </c>
    </row>
    <row r="447" spans="1:7">
      <c r="A447" s="332">
        <v>22900</v>
      </c>
      <c r="B447" s="650">
        <v>1829.6169761173358</v>
      </c>
      <c r="C447" s="650">
        <v>2589.5222021903719</v>
      </c>
      <c r="D447" s="650">
        <v>2984.6557288645236</v>
      </c>
      <c r="E447" s="650">
        <v>3333.8604491416727</v>
      </c>
      <c r="F447" s="650">
        <v>3667.2464940558398</v>
      </c>
      <c r="G447" s="650">
        <v>3986.2969390386975</v>
      </c>
    </row>
    <row r="448" spans="1:7">
      <c r="A448" s="332">
        <v>22950</v>
      </c>
      <c r="B448" s="650">
        <v>1831.7222921165758</v>
      </c>
      <c r="C448" s="650">
        <v>2592.429282000448</v>
      </c>
      <c r="D448" s="650">
        <v>2987.9232738799074</v>
      </c>
      <c r="E448" s="650">
        <v>3337.5102969238565</v>
      </c>
      <c r="F448" s="650">
        <v>3671.2613266162421</v>
      </c>
      <c r="G448" s="650">
        <v>3990.6610620318547</v>
      </c>
    </row>
    <row r="449" spans="1:7">
      <c r="A449" s="332">
        <v>23000</v>
      </c>
      <c r="B449" s="650">
        <v>1833.827608115816</v>
      </c>
      <c r="C449" s="650">
        <v>2595.3363618105245</v>
      </c>
      <c r="D449" s="650">
        <v>2991.1908188952916</v>
      </c>
      <c r="E449" s="650">
        <v>3341.1601447060402</v>
      </c>
      <c r="F449" s="650">
        <v>3675.2761591766443</v>
      </c>
      <c r="G449" s="650">
        <v>3995.025185025012</v>
      </c>
    </row>
    <row r="450" spans="1:7">
      <c r="A450" s="332">
        <v>23050</v>
      </c>
      <c r="B450" s="650">
        <v>1835.9329241150563</v>
      </c>
      <c r="C450" s="650">
        <v>2598.2434416206006</v>
      </c>
      <c r="D450" s="650">
        <v>2994.4583639106754</v>
      </c>
      <c r="E450" s="650">
        <v>3344.8099924882245</v>
      </c>
      <c r="F450" s="650">
        <v>3679.2909917370466</v>
      </c>
      <c r="G450" s="650">
        <v>3999.3893080181692</v>
      </c>
    </row>
    <row r="451" spans="1:7">
      <c r="A451" s="332">
        <v>23100</v>
      </c>
      <c r="B451" s="650">
        <v>1838.0382401142965</v>
      </c>
      <c r="C451" s="650">
        <v>2601.1505214306767</v>
      </c>
      <c r="D451" s="650">
        <v>2997.7259089260592</v>
      </c>
      <c r="E451" s="650">
        <v>3348.4598402704082</v>
      </c>
      <c r="F451" s="650">
        <v>3683.3058242974485</v>
      </c>
      <c r="G451" s="650">
        <v>4003.7534310113265</v>
      </c>
    </row>
    <row r="452" spans="1:7">
      <c r="A452" s="332">
        <v>23150</v>
      </c>
      <c r="B452" s="650">
        <v>1840.1435561135365</v>
      </c>
      <c r="C452" s="650">
        <v>2604.0576012407528</v>
      </c>
      <c r="D452" s="650">
        <v>3000.993453941443</v>
      </c>
      <c r="E452" s="650">
        <v>3352.109688052592</v>
      </c>
      <c r="F452" s="650">
        <v>3687.3206568578507</v>
      </c>
      <c r="G452" s="650">
        <v>4008.1175540044837</v>
      </c>
    </row>
    <row r="453" spans="1:7">
      <c r="A453" s="332">
        <v>23200</v>
      </c>
      <c r="B453" s="650">
        <v>1842.2488721127768</v>
      </c>
      <c r="C453" s="650">
        <v>2606.9646810508293</v>
      </c>
      <c r="D453" s="650">
        <v>3004.2609989568273</v>
      </c>
      <c r="E453" s="650">
        <v>3355.7595358347758</v>
      </c>
      <c r="F453" s="650">
        <v>3691.335489418253</v>
      </c>
      <c r="G453" s="650">
        <v>4012.481676997641</v>
      </c>
    </row>
    <row r="454" spans="1:7">
      <c r="A454" s="332">
        <v>23250</v>
      </c>
      <c r="B454" s="650">
        <v>1844.354188112017</v>
      </c>
      <c r="C454" s="650">
        <v>2609.8717608609054</v>
      </c>
      <c r="D454" s="650">
        <v>3007.5285439722111</v>
      </c>
      <c r="E454" s="650">
        <v>3359.4093836169595</v>
      </c>
      <c r="F454" s="650">
        <v>3695.3503219786553</v>
      </c>
      <c r="G454" s="650">
        <v>4016.8457999907978</v>
      </c>
    </row>
    <row r="455" spans="1:7">
      <c r="A455" s="332">
        <v>23300</v>
      </c>
      <c r="B455" s="650">
        <v>1846.459504111257</v>
      </c>
      <c r="C455" s="650">
        <v>2612.7788406709815</v>
      </c>
      <c r="D455" s="650">
        <v>3010.7960889875949</v>
      </c>
      <c r="E455" s="650">
        <v>3363.0592313991433</v>
      </c>
      <c r="F455" s="650">
        <v>3699.3651545390571</v>
      </c>
      <c r="G455" s="650">
        <v>4021.209922983955</v>
      </c>
    </row>
    <row r="456" spans="1:7">
      <c r="A456" s="332">
        <v>23350</v>
      </c>
      <c r="B456" s="650">
        <v>1848.5648201104973</v>
      </c>
      <c r="C456" s="650">
        <v>2615.6859204810576</v>
      </c>
      <c r="D456" s="650">
        <v>3014.0636340029787</v>
      </c>
      <c r="E456" s="650">
        <v>3366.7090791813271</v>
      </c>
      <c r="F456" s="650">
        <v>3703.3799870994594</v>
      </c>
      <c r="G456" s="650">
        <v>4025.5740459771123</v>
      </c>
    </row>
    <row r="457" spans="1:7">
      <c r="A457" s="332">
        <v>23400</v>
      </c>
      <c r="B457" s="650">
        <v>1850.6701361097373</v>
      </c>
      <c r="C457" s="650">
        <v>2618.5930002911336</v>
      </c>
      <c r="D457" s="650">
        <v>3017.3311790183625</v>
      </c>
      <c r="E457" s="650">
        <v>3370.3589269635104</v>
      </c>
      <c r="F457" s="650">
        <v>3707.3948196598612</v>
      </c>
      <c r="G457" s="650">
        <v>4029.9381689702691</v>
      </c>
    </row>
    <row r="458" spans="1:7">
      <c r="A458" s="332">
        <v>23450</v>
      </c>
      <c r="B458" s="650">
        <v>1852.7754521089776</v>
      </c>
      <c r="C458" s="650">
        <v>2621.5000801012102</v>
      </c>
      <c r="D458" s="650">
        <v>3020.5987240337463</v>
      </c>
      <c r="E458" s="650">
        <v>3374.0087747456946</v>
      </c>
      <c r="F458" s="650">
        <v>3711.409652220264</v>
      </c>
      <c r="G458" s="650">
        <v>4034.3022919634268</v>
      </c>
    </row>
    <row r="459" spans="1:7">
      <c r="A459" s="332">
        <v>23500</v>
      </c>
      <c r="B459" s="650">
        <v>1854.8807681082176</v>
      </c>
      <c r="C459" s="650">
        <v>2624.4071599112863</v>
      </c>
      <c r="D459" s="650">
        <v>3023.8662690491301</v>
      </c>
      <c r="E459" s="650">
        <v>3377.6586225278784</v>
      </c>
      <c r="F459" s="650">
        <v>3715.4244847806658</v>
      </c>
      <c r="G459" s="650">
        <v>4038.6664149565836</v>
      </c>
    </row>
    <row r="460" spans="1:7">
      <c r="A460" s="332">
        <v>23550</v>
      </c>
      <c r="B460" s="650">
        <v>1856.9860841074578</v>
      </c>
      <c r="C460" s="650">
        <v>2627.3142397213624</v>
      </c>
      <c r="D460" s="650">
        <v>3027.1338140645139</v>
      </c>
      <c r="E460" s="650">
        <v>3381.3084703100621</v>
      </c>
      <c r="F460" s="650">
        <v>3719.4393173410681</v>
      </c>
      <c r="G460" s="650">
        <v>4043.0305379497408</v>
      </c>
    </row>
    <row r="461" spans="1:7">
      <c r="A461" s="332">
        <v>23600</v>
      </c>
      <c r="B461" s="650">
        <v>1859.0914001066981</v>
      </c>
      <c r="C461" s="650">
        <v>2630.2213195314384</v>
      </c>
      <c r="D461" s="650">
        <v>3030.4013590798982</v>
      </c>
      <c r="E461" s="650">
        <v>3384.9583180922459</v>
      </c>
      <c r="F461" s="650">
        <v>3723.4541499014704</v>
      </c>
      <c r="G461" s="650">
        <v>4047.3946609428981</v>
      </c>
    </row>
    <row r="462" spans="1:7">
      <c r="A462" s="332">
        <v>23650</v>
      </c>
      <c r="B462" s="650">
        <v>1861.1967161059383</v>
      </c>
      <c r="C462" s="650">
        <v>2633.128399341515</v>
      </c>
      <c r="D462" s="650">
        <v>3033.668904095282</v>
      </c>
      <c r="E462" s="650">
        <v>3388.6081658744297</v>
      </c>
      <c r="F462" s="650">
        <v>3727.4689824618727</v>
      </c>
      <c r="G462" s="650">
        <v>4051.7587839360549</v>
      </c>
    </row>
    <row r="463" spans="1:7">
      <c r="A463" s="332">
        <v>23700</v>
      </c>
      <c r="B463" s="650">
        <v>1863.3020321051786</v>
      </c>
      <c r="C463" s="650">
        <v>2636.0354791515911</v>
      </c>
      <c r="D463" s="650">
        <v>3036.9364491106658</v>
      </c>
      <c r="E463" s="650">
        <v>3392.2580136566135</v>
      </c>
      <c r="F463" s="650">
        <v>3731.4838150222749</v>
      </c>
      <c r="G463" s="650">
        <v>4056.1229069292126</v>
      </c>
    </row>
    <row r="464" spans="1:7">
      <c r="A464" s="332">
        <v>23750</v>
      </c>
      <c r="B464" s="650">
        <v>1865.4073481044186</v>
      </c>
      <c r="C464" s="650">
        <v>2638.9425589616671</v>
      </c>
      <c r="D464" s="650">
        <v>3040.2039941260496</v>
      </c>
      <c r="E464" s="650">
        <v>3395.9078614387972</v>
      </c>
      <c r="F464" s="650">
        <v>3735.4986475826768</v>
      </c>
      <c r="G464" s="650">
        <v>4060.4870299223694</v>
      </c>
    </row>
    <row r="465" spans="1:7">
      <c r="A465" s="332">
        <v>23800</v>
      </c>
      <c r="B465" s="650">
        <v>1867.5126641036586</v>
      </c>
      <c r="C465" s="650">
        <v>2641.8496387717432</v>
      </c>
      <c r="D465" s="650">
        <v>3043.4715391414334</v>
      </c>
      <c r="E465" s="650">
        <v>3399.557709220981</v>
      </c>
      <c r="F465" s="650">
        <v>3739.5134801430791</v>
      </c>
      <c r="G465" s="650">
        <v>4064.8511529155267</v>
      </c>
    </row>
    <row r="466" spans="1:7">
      <c r="A466" s="332">
        <v>23850</v>
      </c>
      <c r="B466" s="650">
        <v>1869.6179801028989</v>
      </c>
      <c r="C466" s="650">
        <v>2644.7567185818198</v>
      </c>
      <c r="D466" s="650">
        <v>3046.7390841568176</v>
      </c>
      <c r="E466" s="650">
        <v>3403.2075570031648</v>
      </c>
      <c r="F466" s="650">
        <v>3743.5283127034813</v>
      </c>
      <c r="G466" s="650">
        <v>4069.2152759086839</v>
      </c>
    </row>
    <row r="467" spans="1:7">
      <c r="A467" s="332">
        <v>23900</v>
      </c>
      <c r="B467" s="650">
        <v>1871.7232961021391</v>
      </c>
      <c r="C467" s="650">
        <v>2647.6637983918959</v>
      </c>
      <c r="D467" s="650">
        <v>3050.0066291722014</v>
      </c>
      <c r="E467" s="650">
        <v>3406.8574047853485</v>
      </c>
      <c r="F467" s="650">
        <v>3747.5431452638832</v>
      </c>
      <c r="G467" s="650">
        <v>4073.5793989018412</v>
      </c>
    </row>
    <row r="468" spans="1:7">
      <c r="A468" s="332">
        <v>23950</v>
      </c>
      <c r="B468" s="650">
        <v>1873.8286121013791</v>
      </c>
      <c r="C468" s="650">
        <v>2650.5708782019719</v>
      </c>
      <c r="D468" s="650">
        <v>3053.2741741875852</v>
      </c>
      <c r="E468" s="650">
        <v>3410.5072525675323</v>
      </c>
      <c r="F468" s="650">
        <v>3751.5579778242854</v>
      </c>
      <c r="G468" s="650">
        <v>4077.943521894998</v>
      </c>
    </row>
    <row r="469" spans="1:7">
      <c r="A469" s="332">
        <v>24000</v>
      </c>
      <c r="B469" s="650">
        <v>1875.9339281006194</v>
      </c>
      <c r="C469" s="650">
        <v>2653.477958012048</v>
      </c>
      <c r="D469" s="650">
        <v>3056.541719202969</v>
      </c>
      <c r="E469" s="650">
        <v>3414.1571003497161</v>
      </c>
      <c r="F469" s="650">
        <v>3755.5728103846877</v>
      </c>
      <c r="G469" s="650">
        <v>4082.3076448881552</v>
      </c>
    </row>
    <row r="470" spans="1:7">
      <c r="A470" s="332">
        <v>24050</v>
      </c>
      <c r="B470" s="650">
        <v>1878.0392440998596</v>
      </c>
      <c r="C470" s="650">
        <v>2656.3850378221241</v>
      </c>
      <c r="D470" s="650">
        <v>3059.8092642183528</v>
      </c>
      <c r="E470" s="650">
        <v>3417.8069481318998</v>
      </c>
      <c r="F470" s="650">
        <v>3759.58764294509</v>
      </c>
      <c r="G470" s="650">
        <v>4086.6717678813125</v>
      </c>
    </row>
    <row r="471" spans="1:7">
      <c r="A471" s="332">
        <v>24100</v>
      </c>
      <c r="B471" s="650">
        <v>1880.1445600990996</v>
      </c>
      <c r="C471" s="650">
        <v>2659.2921176322006</v>
      </c>
      <c r="D471" s="650">
        <v>3063.0768092337366</v>
      </c>
      <c r="E471" s="650">
        <v>3421.4567959140836</v>
      </c>
      <c r="F471" s="650">
        <v>3763.6024755054918</v>
      </c>
      <c r="G471" s="650">
        <v>4091.0358908744697</v>
      </c>
    </row>
    <row r="472" spans="1:7">
      <c r="A472" s="332">
        <v>24150</v>
      </c>
      <c r="B472" s="650">
        <v>1882.2498760983399</v>
      </c>
      <c r="C472" s="650">
        <v>2662.1991974422767</v>
      </c>
      <c r="D472" s="650">
        <v>3066.3443542491204</v>
      </c>
      <c r="E472" s="650">
        <v>3425.1066436962674</v>
      </c>
      <c r="F472" s="650">
        <v>3767.6173080658941</v>
      </c>
      <c r="G472" s="650">
        <v>4095.4000138676265</v>
      </c>
    </row>
    <row r="473" spans="1:7">
      <c r="A473" s="332">
        <v>24200</v>
      </c>
      <c r="B473" s="650">
        <v>1884.3551920975801</v>
      </c>
      <c r="C473" s="650">
        <v>2665.1062772523528</v>
      </c>
      <c r="D473" s="650">
        <v>3069.6118992645047</v>
      </c>
      <c r="E473" s="650">
        <v>3428.7564914784516</v>
      </c>
      <c r="F473" s="650">
        <v>3771.6321406262964</v>
      </c>
      <c r="G473" s="650">
        <v>4099.7641368607838</v>
      </c>
    </row>
    <row r="474" spans="1:7">
      <c r="A474" s="332">
        <v>24250</v>
      </c>
      <c r="B474" s="650">
        <v>1886.4605080968201</v>
      </c>
      <c r="C474" s="650">
        <v>2668.0133570624289</v>
      </c>
      <c r="D474" s="650">
        <v>3072.8794442798885</v>
      </c>
      <c r="E474" s="650">
        <v>3432.4063392606354</v>
      </c>
      <c r="F474" s="650">
        <v>3775.6469731866987</v>
      </c>
      <c r="G474" s="650">
        <v>4104.128259853941</v>
      </c>
    </row>
    <row r="475" spans="1:7">
      <c r="A475" s="332">
        <v>24300</v>
      </c>
      <c r="B475" s="650">
        <v>1888.5658240960604</v>
      </c>
      <c r="C475" s="650">
        <v>2670.9204368725054</v>
      </c>
      <c r="D475" s="650">
        <v>3076.1469892952723</v>
      </c>
      <c r="E475" s="650">
        <v>3436.0561870428191</v>
      </c>
      <c r="F475" s="650">
        <v>3779.661805747101</v>
      </c>
      <c r="G475" s="650">
        <v>4108.4923828470983</v>
      </c>
    </row>
    <row r="476" spans="1:7">
      <c r="A476" s="332">
        <v>24350</v>
      </c>
      <c r="B476" s="650">
        <v>1890.6711400953006</v>
      </c>
      <c r="C476" s="650">
        <v>2673.8275166825815</v>
      </c>
      <c r="D476" s="650">
        <v>3079.4145343106561</v>
      </c>
      <c r="E476" s="650">
        <v>3439.7060348250029</v>
      </c>
      <c r="F476" s="650">
        <v>3783.6766383075028</v>
      </c>
      <c r="G476" s="650">
        <v>4112.8565058402555</v>
      </c>
    </row>
    <row r="477" spans="1:7">
      <c r="A477" s="332">
        <v>24400</v>
      </c>
      <c r="B477" s="650">
        <v>1892.7764560945407</v>
      </c>
      <c r="C477" s="650">
        <v>2676.7345964926576</v>
      </c>
      <c r="D477" s="650">
        <v>3082.6820793260399</v>
      </c>
      <c r="E477" s="650">
        <v>3443.3558826071867</v>
      </c>
      <c r="F477" s="650">
        <v>3787.6914708679051</v>
      </c>
      <c r="G477" s="650">
        <v>4117.2206288334128</v>
      </c>
    </row>
    <row r="478" spans="1:7">
      <c r="A478" s="332">
        <v>24450</v>
      </c>
      <c r="B478" s="650">
        <v>1894.8817720937809</v>
      </c>
      <c r="C478" s="650">
        <v>2679.6416763027337</v>
      </c>
      <c r="D478" s="650">
        <v>3085.9496243414242</v>
      </c>
      <c r="E478" s="650">
        <v>3447.0057303893705</v>
      </c>
      <c r="F478" s="650">
        <v>3791.7063034283074</v>
      </c>
      <c r="G478" s="650">
        <v>4121.58475182657</v>
      </c>
    </row>
    <row r="479" spans="1:7">
      <c r="A479" s="332">
        <v>24500</v>
      </c>
      <c r="B479" s="650">
        <v>1896.9870880930212</v>
      </c>
      <c r="C479" s="650">
        <v>2682.5487561128102</v>
      </c>
      <c r="D479" s="650">
        <v>3089.217169356808</v>
      </c>
      <c r="E479" s="650">
        <v>3450.6555781715542</v>
      </c>
      <c r="F479" s="650">
        <v>3795.7211359887096</v>
      </c>
      <c r="G479" s="650">
        <v>4125.9488748197273</v>
      </c>
    </row>
    <row r="480" spans="1:7">
      <c r="A480" s="332">
        <v>24550</v>
      </c>
      <c r="B480" s="650">
        <v>1899.0924040922612</v>
      </c>
      <c r="C480" s="650">
        <v>2685.4558359228863</v>
      </c>
      <c r="D480" s="650">
        <v>3092.4847143721918</v>
      </c>
      <c r="E480" s="650">
        <v>3454.305425953738</v>
      </c>
      <c r="F480" s="650">
        <v>3799.7359685491115</v>
      </c>
      <c r="G480" s="650">
        <v>4130.3129978128836</v>
      </c>
    </row>
    <row r="481" spans="1:7">
      <c r="A481" s="332">
        <v>24600</v>
      </c>
      <c r="B481" s="650">
        <v>1901.1977200915014</v>
      </c>
      <c r="C481" s="650">
        <v>2688.3629157329624</v>
      </c>
      <c r="D481" s="650">
        <v>3095.7522593875756</v>
      </c>
      <c r="E481" s="650">
        <v>3457.9552737359218</v>
      </c>
      <c r="F481" s="650">
        <v>3803.7508011095138</v>
      </c>
      <c r="G481" s="650">
        <v>4134.6771208060409</v>
      </c>
    </row>
    <row r="482" spans="1:7">
      <c r="A482" s="332">
        <v>24650</v>
      </c>
      <c r="B482" s="650">
        <v>1903.3030360907414</v>
      </c>
      <c r="C482" s="650">
        <v>2691.2699955430385</v>
      </c>
      <c r="D482" s="650">
        <v>3099.0198044029594</v>
      </c>
      <c r="E482" s="650">
        <v>3461.6051215181055</v>
      </c>
      <c r="F482" s="650">
        <v>3807.7656336699156</v>
      </c>
      <c r="G482" s="650">
        <v>4139.0412437991981</v>
      </c>
    </row>
    <row r="483" spans="1:7">
      <c r="A483" s="332">
        <v>24700</v>
      </c>
      <c r="B483" s="650">
        <v>1905.4083520899817</v>
      </c>
      <c r="C483" s="650">
        <v>2694.1770753531146</v>
      </c>
      <c r="D483" s="650">
        <v>3102.2873494183432</v>
      </c>
      <c r="E483" s="650">
        <v>3465.2549693002893</v>
      </c>
      <c r="F483" s="650">
        <v>3811.7804662303179</v>
      </c>
      <c r="G483" s="650">
        <v>4143.4053667923554</v>
      </c>
    </row>
    <row r="484" spans="1:7">
      <c r="A484" s="332">
        <v>24750</v>
      </c>
      <c r="B484" s="650">
        <v>1907.5136680892219</v>
      </c>
      <c r="C484" s="650">
        <v>2697.0841551631911</v>
      </c>
      <c r="D484" s="650">
        <v>3105.554894433727</v>
      </c>
      <c r="E484" s="650">
        <v>3468.9048170824731</v>
      </c>
      <c r="F484" s="650">
        <v>3815.7952987907202</v>
      </c>
      <c r="G484" s="650">
        <v>4147.7694897855126</v>
      </c>
    </row>
    <row r="485" spans="1:7">
      <c r="A485" s="332">
        <v>24800</v>
      </c>
      <c r="B485" s="650">
        <v>1909.618984088462</v>
      </c>
      <c r="C485" s="650">
        <v>2699.9912349732667</v>
      </c>
      <c r="D485" s="650">
        <v>3108.8224394491108</v>
      </c>
      <c r="E485" s="650">
        <v>3472.5546648646568</v>
      </c>
      <c r="F485" s="650">
        <v>3819.8101313511224</v>
      </c>
      <c r="G485" s="650">
        <v>4152.1336127786699</v>
      </c>
    </row>
    <row r="486" spans="1:7">
      <c r="A486" s="332">
        <v>24850</v>
      </c>
      <c r="B486" s="650">
        <v>1911.7243000877022</v>
      </c>
      <c r="C486" s="650">
        <v>2702.8983147833433</v>
      </c>
      <c r="D486" s="650">
        <v>3112.089984464495</v>
      </c>
      <c r="E486" s="650">
        <v>3476.2045126468406</v>
      </c>
      <c r="F486" s="650">
        <v>3823.8249639115247</v>
      </c>
      <c r="G486" s="650">
        <v>4156.4977357718271</v>
      </c>
    </row>
    <row r="487" spans="1:7">
      <c r="A487" s="332">
        <v>24900</v>
      </c>
      <c r="B487" s="650">
        <v>1913.8296160869425</v>
      </c>
      <c r="C487" s="650">
        <v>2705.8053945934194</v>
      </c>
      <c r="D487" s="650">
        <v>3115.3575294798788</v>
      </c>
      <c r="E487" s="650">
        <v>3479.8543604290244</v>
      </c>
      <c r="F487" s="650">
        <v>3827.839796471927</v>
      </c>
      <c r="G487" s="650">
        <v>4160.8618587649844</v>
      </c>
    </row>
    <row r="488" spans="1:7">
      <c r="A488" s="332">
        <v>24950</v>
      </c>
      <c r="B488" s="650">
        <v>1915.9349320861827</v>
      </c>
      <c r="C488" s="650">
        <v>2708.7124744034959</v>
      </c>
      <c r="D488" s="650">
        <v>3118.6250744952627</v>
      </c>
      <c r="E488" s="650">
        <v>3483.5042082112086</v>
      </c>
      <c r="F488" s="650">
        <v>3831.8546290323293</v>
      </c>
      <c r="G488" s="650">
        <v>4165.2259817581416</v>
      </c>
    </row>
    <row r="489" spans="1:7">
      <c r="A489" s="332">
        <v>25000</v>
      </c>
      <c r="B489" s="650">
        <v>1918.0402480854227</v>
      </c>
      <c r="C489" s="650">
        <v>2711.619554213572</v>
      </c>
      <c r="D489" s="650">
        <v>3121.8926195106469</v>
      </c>
      <c r="E489" s="650">
        <v>3487.1540559933919</v>
      </c>
      <c r="F489" s="650">
        <v>3835.8694615927311</v>
      </c>
      <c r="G489" s="650">
        <v>4169.5901047512989</v>
      </c>
    </row>
    <row r="490" spans="1:7">
      <c r="A490" s="332">
        <v>25050</v>
      </c>
      <c r="B490" s="650">
        <v>1920.145564084663</v>
      </c>
      <c r="C490" s="650">
        <v>2714.5266340236481</v>
      </c>
      <c r="D490" s="650">
        <v>3125.1601645260307</v>
      </c>
      <c r="E490" s="650">
        <v>3490.8039037755757</v>
      </c>
      <c r="F490" s="650">
        <v>3839.8842941531334</v>
      </c>
      <c r="G490" s="650">
        <v>4173.9542277444552</v>
      </c>
    </row>
    <row r="491" spans="1:7">
      <c r="A491" s="332">
        <v>25100</v>
      </c>
      <c r="B491" s="650">
        <v>1922.2508800839032</v>
      </c>
      <c r="C491" s="650">
        <v>2717.4337138337241</v>
      </c>
      <c r="D491" s="650">
        <v>3128.4277095414145</v>
      </c>
      <c r="E491" s="650">
        <v>3494.4537515577599</v>
      </c>
      <c r="F491" s="650">
        <v>3843.8991267135357</v>
      </c>
      <c r="G491" s="650">
        <v>4178.3183507376134</v>
      </c>
    </row>
    <row r="492" spans="1:7">
      <c r="A492" s="332">
        <v>25150</v>
      </c>
      <c r="B492" s="650">
        <v>1924.3561960831432</v>
      </c>
      <c r="C492" s="650">
        <v>2720.3407936438002</v>
      </c>
      <c r="D492" s="650">
        <v>3131.6952545567983</v>
      </c>
      <c r="E492" s="650">
        <v>3498.1035993399437</v>
      </c>
      <c r="F492" s="650">
        <v>3847.9139592739375</v>
      </c>
      <c r="G492" s="650">
        <v>4182.6824737307697</v>
      </c>
    </row>
    <row r="493" spans="1:7">
      <c r="A493" s="332">
        <v>25200</v>
      </c>
      <c r="B493" s="650">
        <v>1926.4615120823833</v>
      </c>
      <c r="C493" s="650">
        <v>2723.2478734538763</v>
      </c>
      <c r="D493" s="650">
        <v>3134.9627995721821</v>
      </c>
      <c r="E493" s="650">
        <v>3501.753447122127</v>
      </c>
      <c r="F493" s="650">
        <v>3851.9287918343398</v>
      </c>
      <c r="G493" s="650">
        <v>4187.046596723927</v>
      </c>
    </row>
    <row r="494" spans="1:7">
      <c r="A494" s="332">
        <v>25250</v>
      </c>
      <c r="B494" s="650">
        <v>1928.5668280816235</v>
      </c>
      <c r="C494" s="650">
        <v>2726.1549532639528</v>
      </c>
      <c r="D494" s="650">
        <v>3138.2303445875659</v>
      </c>
      <c r="E494" s="650">
        <v>3505.4032949043112</v>
      </c>
      <c r="F494" s="650">
        <v>3855.9436243947421</v>
      </c>
      <c r="G494" s="650">
        <v>4191.4107197170842</v>
      </c>
    </row>
    <row r="495" spans="1:7">
      <c r="A495" s="332">
        <v>25300</v>
      </c>
      <c r="B495" s="650">
        <v>1930.6721440808637</v>
      </c>
      <c r="C495" s="650">
        <v>2729.0620330740289</v>
      </c>
      <c r="D495" s="650">
        <v>3141.4978896029497</v>
      </c>
      <c r="E495" s="650">
        <v>3509.053142686495</v>
      </c>
      <c r="F495" s="650">
        <v>3859.9584569551444</v>
      </c>
      <c r="G495" s="650">
        <v>4195.7748427102415</v>
      </c>
    </row>
    <row r="496" spans="1:7">
      <c r="A496" s="332">
        <v>25350</v>
      </c>
      <c r="B496" s="650">
        <v>1932.7774600801038</v>
      </c>
      <c r="C496" s="650">
        <v>2731.969112884105</v>
      </c>
      <c r="D496" s="650">
        <v>3144.7654346183335</v>
      </c>
      <c r="E496" s="650">
        <v>3512.7029904686788</v>
      </c>
      <c r="F496" s="650">
        <v>3863.9732895155462</v>
      </c>
      <c r="G496" s="650">
        <v>4200.1389657033988</v>
      </c>
    </row>
    <row r="497" spans="1:7">
      <c r="A497" s="332">
        <v>25400</v>
      </c>
      <c r="B497" s="650">
        <v>1934.882776079344</v>
      </c>
      <c r="C497" s="650">
        <v>2734.8761926941811</v>
      </c>
      <c r="D497" s="650">
        <v>3148.0329796337173</v>
      </c>
      <c r="E497" s="650">
        <v>3516.3528382508625</v>
      </c>
      <c r="F497" s="650">
        <v>3867.9881220759485</v>
      </c>
      <c r="G497" s="650">
        <v>4204.503088696556</v>
      </c>
    </row>
    <row r="498" spans="1:7">
      <c r="A498" s="332">
        <v>25450</v>
      </c>
      <c r="B498" s="650">
        <v>1936.9880920785843</v>
      </c>
      <c r="C498" s="650">
        <v>2737.7832725042576</v>
      </c>
      <c r="D498" s="650">
        <v>3151.3005246491016</v>
      </c>
      <c r="E498" s="650">
        <v>3520.0026860330463</v>
      </c>
      <c r="F498" s="650">
        <v>3872.0029546363508</v>
      </c>
      <c r="G498" s="650">
        <v>4208.8672116897133</v>
      </c>
    </row>
    <row r="499" spans="1:7">
      <c r="A499" s="332">
        <v>25500</v>
      </c>
      <c r="B499" s="650">
        <v>1939.0934080778243</v>
      </c>
      <c r="C499" s="650">
        <v>2740.6903523143337</v>
      </c>
      <c r="D499" s="650">
        <v>3154.5680696644854</v>
      </c>
      <c r="E499" s="650">
        <v>3523.6525338152301</v>
      </c>
      <c r="F499" s="650">
        <v>3876.017787196753</v>
      </c>
      <c r="G499" s="650">
        <v>4213.2313346828705</v>
      </c>
    </row>
    <row r="500" spans="1:7">
      <c r="A500" s="332">
        <v>25550</v>
      </c>
      <c r="B500" s="650">
        <v>1941.1987240770645</v>
      </c>
      <c r="C500" s="650">
        <v>2743.5974321244098</v>
      </c>
      <c r="D500" s="650">
        <v>3157.8356146798692</v>
      </c>
      <c r="E500" s="650">
        <v>3527.3023815974138</v>
      </c>
      <c r="F500" s="650">
        <v>3880.0326197571549</v>
      </c>
      <c r="G500" s="650">
        <v>4217.5954576760269</v>
      </c>
    </row>
    <row r="501" spans="1:7">
      <c r="A501" s="332">
        <v>25600</v>
      </c>
      <c r="B501" s="650">
        <v>1943.3040400763045</v>
      </c>
      <c r="C501" s="650">
        <v>2746.5045119344859</v>
      </c>
      <c r="D501" s="650">
        <v>3161.103159695253</v>
      </c>
      <c r="E501" s="650">
        <v>3530.9522293795976</v>
      </c>
      <c r="F501" s="650">
        <v>3884.0474523175571</v>
      </c>
      <c r="G501" s="650">
        <v>4221.9595806691841</v>
      </c>
    </row>
    <row r="502" spans="1:7">
      <c r="A502" s="332">
        <v>25650</v>
      </c>
      <c r="B502" s="650">
        <v>1945.4093560755448</v>
      </c>
      <c r="C502" s="650">
        <v>2749.4115917445624</v>
      </c>
      <c r="D502" s="650">
        <v>3164.3707047106373</v>
      </c>
      <c r="E502" s="650">
        <v>3534.6020771617814</v>
      </c>
      <c r="F502" s="650">
        <v>3888.0622848779594</v>
      </c>
      <c r="G502" s="650">
        <v>4226.3237036623414</v>
      </c>
    </row>
    <row r="503" spans="1:7">
      <c r="A503" s="332">
        <v>25700</v>
      </c>
      <c r="B503" s="650">
        <v>1947.514672074785</v>
      </c>
      <c r="C503" s="650">
        <v>2752.3186715546385</v>
      </c>
      <c r="D503" s="650">
        <v>3167.6382497260211</v>
      </c>
      <c r="E503" s="650">
        <v>3538.2519249439652</v>
      </c>
      <c r="F503" s="650">
        <v>3892.0771174383617</v>
      </c>
      <c r="G503" s="650">
        <v>4230.6878266554986</v>
      </c>
    </row>
    <row r="504" spans="1:7">
      <c r="A504" s="332">
        <v>25750</v>
      </c>
      <c r="B504" s="650">
        <v>1949.6199880740251</v>
      </c>
      <c r="C504" s="650">
        <v>2755.2257513647146</v>
      </c>
      <c r="D504" s="650">
        <v>3170.9057947414049</v>
      </c>
      <c r="E504" s="650">
        <v>3541.9017727261489</v>
      </c>
      <c r="F504" s="650">
        <v>3896.0919499987635</v>
      </c>
      <c r="G504" s="650">
        <v>4235.0519496486559</v>
      </c>
    </row>
    <row r="505" spans="1:7">
      <c r="A505" s="332">
        <v>25800</v>
      </c>
      <c r="B505" s="650">
        <v>1951.7253040732653</v>
      </c>
      <c r="C505" s="650">
        <v>2758.1328311747907</v>
      </c>
      <c r="D505" s="650">
        <v>3174.1733397567887</v>
      </c>
      <c r="E505" s="650">
        <v>3545.5516205083327</v>
      </c>
      <c r="F505" s="650">
        <v>3900.1067825591658</v>
      </c>
      <c r="G505" s="650">
        <v>4239.4160726418131</v>
      </c>
    </row>
    <row r="506" spans="1:7">
      <c r="A506" s="332">
        <v>25850</v>
      </c>
      <c r="B506" s="650">
        <v>1953.8306200725053</v>
      </c>
      <c r="C506" s="650">
        <v>2761.0399109848668</v>
      </c>
      <c r="D506" s="650">
        <v>3177.4408847721725</v>
      </c>
      <c r="E506" s="650">
        <v>3549.2014682905165</v>
      </c>
      <c r="F506" s="650">
        <v>3904.1216151195677</v>
      </c>
      <c r="G506" s="650">
        <v>4243.7801956349704</v>
      </c>
    </row>
    <row r="507" spans="1:7">
      <c r="A507" s="332">
        <v>25900</v>
      </c>
      <c r="B507" s="650">
        <v>1955.9359360717456</v>
      </c>
      <c r="C507" s="650">
        <v>2763.9469907949428</v>
      </c>
      <c r="D507" s="650">
        <v>3180.7084297875563</v>
      </c>
      <c r="E507" s="650">
        <v>3552.8513160726998</v>
      </c>
      <c r="F507" s="650">
        <v>3908.1364476799699</v>
      </c>
      <c r="G507" s="650">
        <v>4248.1443186281267</v>
      </c>
    </row>
    <row r="508" spans="1:7">
      <c r="A508" s="332">
        <v>25950</v>
      </c>
      <c r="B508" s="650">
        <v>1958.0412520709858</v>
      </c>
      <c r="C508" s="650">
        <v>2766.8540706050194</v>
      </c>
      <c r="D508" s="650">
        <v>3183.9759748029405</v>
      </c>
      <c r="E508" s="650">
        <v>3556.501163854884</v>
      </c>
      <c r="F508" s="650">
        <v>3912.1512802403722</v>
      </c>
      <c r="G508" s="650">
        <v>4252.5084416212849</v>
      </c>
    </row>
    <row r="509" spans="1:7">
      <c r="A509" s="332">
        <v>26000</v>
      </c>
      <c r="B509" s="650">
        <v>1960.1465680702263</v>
      </c>
      <c r="C509" s="650">
        <v>2769.7611504150959</v>
      </c>
      <c r="D509" s="650">
        <v>3187.2435198183248</v>
      </c>
      <c r="E509" s="650">
        <v>3560.1510116370682</v>
      </c>
      <c r="F509" s="650">
        <v>3916.166112800775</v>
      </c>
      <c r="G509" s="650">
        <v>4256.8725646144421</v>
      </c>
    </row>
    <row r="510" spans="1:7">
      <c r="A510" s="332">
        <v>26050</v>
      </c>
      <c r="B510" s="650">
        <v>1962.2518840694663</v>
      </c>
      <c r="C510" s="650">
        <v>2772.668230225172</v>
      </c>
      <c r="D510" s="650">
        <v>3190.5110648337086</v>
      </c>
      <c r="E510" s="650">
        <v>3563.800859419252</v>
      </c>
      <c r="F510" s="650">
        <v>3920.1809453611772</v>
      </c>
      <c r="G510" s="650">
        <v>4261.2366876075994</v>
      </c>
    </row>
    <row r="511" spans="1:7">
      <c r="A511" s="332">
        <v>26100</v>
      </c>
      <c r="B511" s="650">
        <v>1964.3572000687066</v>
      </c>
      <c r="C511" s="650">
        <v>2775.5753100352481</v>
      </c>
      <c r="D511" s="650">
        <v>3193.7786098490924</v>
      </c>
      <c r="E511" s="650">
        <v>3567.4507072014358</v>
      </c>
      <c r="F511" s="650">
        <v>3924.1957779215791</v>
      </c>
      <c r="G511" s="650">
        <v>4265.6008106007566</v>
      </c>
    </row>
    <row r="512" spans="1:7">
      <c r="A512" s="332">
        <v>26150</v>
      </c>
      <c r="B512" s="650">
        <v>1966.4625160679466</v>
      </c>
      <c r="C512" s="650">
        <v>2778.4823898453242</v>
      </c>
      <c r="D512" s="650">
        <v>3197.0461548644762</v>
      </c>
      <c r="E512" s="650">
        <v>3571.1005549836195</v>
      </c>
      <c r="F512" s="650">
        <v>3928.2106104819813</v>
      </c>
      <c r="G512" s="650">
        <v>4269.9649335939139</v>
      </c>
    </row>
    <row r="513" spans="1:7">
      <c r="A513" s="332">
        <v>26200</v>
      </c>
      <c r="B513" s="650">
        <v>1968.5678320671868</v>
      </c>
      <c r="C513" s="650">
        <v>2781.3894696554003</v>
      </c>
      <c r="D513" s="650">
        <v>3200.31369987986</v>
      </c>
      <c r="E513" s="650">
        <v>3574.7504027658033</v>
      </c>
      <c r="F513" s="650">
        <v>3932.2254430423836</v>
      </c>
      <c r="G513" s="650">
        <v>4274.3290565870702</v>
      </c>
    </row>
    <row r="514" spans="1:7">
      <c r="A514" s="332">
        <v>26250</v>
      </c>
      <c r="B514" s="650">
        <v>1970.6731480664268</v>
      </c>
      <c r="C514" s="650">
        <v>2784.2965494654763</v>
      </c>
      <c r="D514" s="650">
        <v>3203.5812448952438</v>
      </c>
      <c r="E514" s="650">
        <v>3578.4002505479871</v>
      </c>
      <c r="F514" s="650">
        <v>3936.2402756027855</v>
      </c>
      <c r="G514" s="650">
        <v>4278.6931795802275</v>
      </c>
    </row>
    <row r="515" spans="1:7">
      <c r="A515" s="332">
        <v>26300</v>
      </c>
      <c r="B515" s="650">
        <v>1972.7784640656671</v>
      </c>
      <c r="C515" s="650">
        <v>2787.2036292755524</v>
      </c>
      <c r="D515" s="650">
        <v>3206.8487899106276</v>
      </c>
      <c r="E515" s="650">
        <v>3582.0500983301708</v>
      </c>
      <c r="F515" s="650">
        <v>3940.2551081631877</v>
      </c>
      <c r="G515" s="650">
        <v>4283.0573025733847</v>
      </c>
    </row>
    <row r="516" spans="1:7">
      <c r="A516" s="332">
        <v>26350</v>
      </c>
      <c r="B516" s="650">
        <v>1974.8837800649071</v>
      </c>
      <c r="C516" s="650">
        <v>2790.1107090856285</v>
      </c>
      <c r="D516" s="650">
        <v>3210.1163349260114</v>
      </c>
      <c r="E516" s="650">
        <v>3585.6999461123542</v>
      </c>
      <c r="F516" s="650">
        <v>3944.2699407235896</v>
      </c>
      <c r="G516" s="650">
        <v>4287.421425566542</v>
      </c>
    </row>
    <row r="517" spans="1:7">
      <c r="A517" s="332">
        <v>26400</v>
      </c>
      <c r="B517" s="650">
        <v>1976.9890960641474</v>
      </c>
      <c r="C517" s="650">
        <v>2793.0177888957051</v>
      </c>
      <c r="D517" s="650">
        <v>3213.3838799413952</v>
      </c>
      <c r="E517" s="650">
        <v>3589.3497938945384</v>
      </c>
      <c r="F517" s="650">
        <v>3948.2847732839919</v>
      </c>
      <c r="G517" s="650">
        <v>4291.7855485596992</v>
      </c>
    </row>
    <row r="518" spans="1:7">
      <c r="A518" s="332">
        <v>26450</v>
      </c>
      <c r="B518" s="650">
        <v>1979.0944120633876</v>
      </c>
      <c r="C518" s="650">
        <v>2795.9248687057816</v>
      </c>
      <c r="D518" s="650">
        <v>3216.6514249567795</v>
      </c>
      <c r="E518" s="650">
        <v>3592.9996416767221</v>
      </c>
      <c r="F518" s="650">
        <v>3952.2996058443941</v>
      </c>
      <c r="G518" s="650">
        <v>4296.1496715528565</v>
      </c>
    </row>
    <row r="519" spans="1:7">
      <c r="A519" s="332">
        <v>26500</v>
      </c>
      <c r="B519" s="650">
        <v>1981.1997280626279</v>
      </c>
      <c r="C519" s="650">
        <v>2798.8319485158577</v>
      </c>
      <c r="D519" s="650">
        <v>3219.9189699721633</v>
      </c>
      <c r="E519" s="650">
        <v>3596.6494894589059</v>
      </c>
      <c r="F519" s="650">
        <v>3956.3144384047964</v>
      </c>
      <c r="G519" s="650">
        <v>4300.5137945460137</v>
      </c>
    </row>
    <row r="520" spans="1:7">
      <c r="A520" s="332">
        <v>26550</v>
      </c>
      <c r="B520" s="650">
        <v>1983.3050440618679</v>
      </c>
      <c r="C520" s="650">
        <v>2801.7390283259338</v>
      </c>
      <c r="D520" s="650">
        <v>3223.1865149875471</v>
      </c>
      <c r="E520" s="650">
        <v>3600.2993372410897</v>
      </c>
      <c r="F520" s="650">
        <v>3960.3292709651987</v>
      </c>
      <c r="G520" s="650">
        <v>4304.877917539171</v>
      </c>
    </row>
    <row r="521" spans="1:7">
      <c r="A521" s="332">
        <v>26600</v>
      </c>
      <c r="B521" s="650">
        <v>1985.4103600611079</v>
      </c>
      <c r="C521" s="650">
        <v>2804.6461081360098</v>
      </c>
      <c r="D521" s="650">
        <v>3226.4540600029309</v>
      </c>
      <c r="E521" s="650">
        <v>3603.9491850232735</v>
      </c>
      <c r="F521" s="650">
        <v>3964.3441035256005</v>
      </c>
      <c r="G521" s="650">
        <v>4309.2420405323273</v>
      </c>
    </row>
    <row r="522" spans="1:7">
      <c r="A522" s="332">
        <v>26650</v>
      </c>
      <c r="B522" s="650">
        <v>1987.5156760603481</v>
      </c>
      <c r="C522" s="650">
        <v>2807.5531879460859</v>
      </c>
      <c r="D522" s="650">
        <v>3229.7216050183147</v>
      </c>
      <c r="E522" s="650">
        <v>3607.5990328054572</v>
      </c>
      <c r="F522" s="650">
        <v>3968.3589360860028</v>
      </c>
      <c r="G522" s="650">
        <v>4313.6061635254846</v>
      </c>
    </row>
    <row r="523" spans="1:7">
      <c r="A523" s="332">
        <v>26700</v>
      </c>
      <c r="B523" s="650">
        <v>1989.6209920595884</v>
      </c>
      <c r="C523" s="650">
        <v>2810.4602677561625</v>
      </c>
      <c r="D523" s="650">
        <v>3232.9891500336989</v>
      </c>
      <c r="E523" s="650">
        <v>3611.2488805876415</v>
      </c>
      <c r="F523" s="650">
        <v>3972.3737686464056</v>
      </c>
      <c r="G523" s="650">
        <v>4317.9702865186428</v>
      </c>
    </row>
    <row r="524" spans="1:7">
      <c r="A524" s="332">
        <v>26750</v>
      </c>
      <c r="B524" s="650">
        <v>1991.7263080588286</v>
      </c>
      <c r="C524" s="650">
        <v>2813.3673475662385</v>
      </c>
      <c r="D524" s="650">
        <v>3236.2566950490827</v>
      </c>
      <c r="E524" s="650">
        <v>3614.8987283698252</v>
      </c>
      <c r="F524" s="650">
        <v>3976.3886012068074</v>
      </c>
      <c r="G524" s="650">
        <v>4322.3344095117991</v>
      </c>
    </row>
    <row r="525" spans="1:7">
      <c r="A525" s="332">
        <v>26800</v>
      </c>
      <c r="B525" s="650">
        <v>1993.8316240580689</v>
      </c>
      <c r="C525" s="650">
        <v>2816.2744273763146</v>
      </c>
      <c r="D525" s="650">
        <v>3239.5242400644665</v>
      </c>
      <c r="E525" s="650">
        <v>3618.5485761520085</v>
      </c>
      <c r="F525" s="650">
        <v>3980.4034337672097</v>
      </c>
      <c r="G525" s="650">
        <v>4326.6985325049563</v>
      </c>
    </row>
    <row r="526" spans="1:7">
      <c r="A526" s="332">
        <v>26850</v>
      </c>
      <c r="B526" s="650">
        <v>1995.9369400573089</v>
      </c>
      <c r="C526" s="650">
        <v>2819.1815071863907</v>
      </c>
      <c r="D526" s="650">
        <v>3242.7917850798503</v>
      </c>
      <c r="E526" s="650">
        <v>3622.1984239341928</v>
      </c>
      <c r="F526" s="650">
        <v>3984.4182663276115</v>
      </c>
      <c r="G526" s="650">
        <v>4331.0626554981136</v>
      </c>
    </row>
    <row r="527" spans="1:7">
      <c r="A527" s="332">
        <v>26900</v>
      </c>
      <c r="B527" s="650">
        <v>1998.0422560565489</v>
      </c>
      <c r="C527" s="650">
        <v>2822.0885869964668</v>
      </c>
      <c r="D527" s="650">
        <v>3246.0593300952341</v>
      </c>
      <c r="E527" s="650">
        <v>3625.8482717163761</v>
      </c>
      <c r="F527" s="650">
        <v>3988.4330988880138</v>
      </c>
      <c r="G527" s="650">
        <v>4335.4267784912709</v>
      </c>
    </row>
    <row r="528" spans="1:7">
      <c r="A528" s="332">
        <v>26950</v>
      </c>
      <c r="B528" s="650">
        <v>2000.1475720557892</v>
      </c>
      <c r="C528" s="650">
        <v>2824.9956668065429</v>
      </c>
      <c r="D528" s="650">
        <v>3249.3268751106179</v>
      </c>
      <c r="E528" s="650">
        <v>3629.4981194985598</v>
      </c>
      <c r="F528" s="650">
        <v>3992.4479314484161</v>
      </c>
      <c r="G528" s="650">
        <v>4339.7909014844281</v>
      </c>
    </row>
    <row r="529" spans="1:7">
      <c r="A529" s="332">
        <v>27000</v>
      </c>
      <c r="B529" s="650">
        <v>2002.2528880550292</v>
      </c>
      <c r="C529" s="650">
        <v>2827.902746616619</v>
      </c>
      <c r="D529" s="650">
        <v>3252.5944201260018</v>
      </c>
      <c r="E529" s="650">
        <v>3633.1479672807436</v>
      </c>
      <c r="F529" s="650">
        <v>3996.4627640088179</v>
      </c>
      <c r="G529" s="650">
        <v>4344.1550244775844</v>
      </c>
    </row>
    <row r="530" spans="1:7">
      <c r="A530" s="332">
        <v>27050</v>
      </c>
      <c r="B530" s="650">
        <v>2004.3582040542694</v>
      </c>
      <c r="C530" s="650">
        <v>2830.8098264266955</v>
      </c>
      <c r="D530" s="650">
        <v>3255.8619651413856</v>
      </c>
      <c r="E530" s="650">
        <v>3636.7978150629274</v>
      </c>
      <c r="F530" s="650">
        <v>4000.4775965692197</v>
      </c>
      <c r="G530" s="650">
        <v>4348.5191474707417</v>
      </c>
    </row>
    <row r="531" spans="1:7">
      <c r="A531" s="332">
        <v>27100</v>
      </c>
      <c r="B531" s="650">
        <v>2006.4635200535095</v>
      </c>
      <c r="C531" s="650">
        <v>2833.7169062367711</v>
      </c>
      <c r="D531" s="650">
        <v>3259.1295101567694</v>
      </c>
      <c r="E531" s="650">
        <v>3640.4476628451112</v>
      </c>
      <c r="F531" s="650">
        <v>4004.492429129622</v>
      </c>
      <c r="G531" s="650">
        <v>4352.883270463899</v>
      </c>
    </row>
    <row r="532" spans="1:7">
      <c r="A532" s="332">
        <v>27150</v>
      </c>
      <c r="B532" s="650">
        <v>2008.5688360527497</v>
      </c>
      <c r="C532" s="650">
        <v>2836.6239860468477</v>
      </c>
      <c r="D532" s="650">
        <v>3262.3970551721532</v>
      </c>
      <c r="E532" s="650">
        <v>3644.0975106272949</v>
      </c>
      <c r="F532" s="650">
        <v>4008.5072616900243</v>
      </c>
      <c r="G532" s="650">
        <v>4357.2473934570562</v>
      </c>
    </row>
    <row r="533" spans="1:7">
      <c r="A533" s="332">
        <v>27200</v>
      </c>
      <c r="B533" s="650">
        <v>2010.6741520519899</v>
      </c>
      <c r="C533" s="650">
        <v>2839.5310658569242</v>
      </c>
      <c r="D533" s="650">
        <v>3265.6646001875374</v>
      </c>
      <c r="E533" s="650">
        <v>3647.7473584094791</v>
      </c>
      <c r="F533" s="650">
        <v>4012.5220942504266</v>
      </c>
      <c r="G533" s="650">
        <v>4361.6115164502135</v>
      </c>
    </row>
    <row r="534" spans="1:7">
      <c r="A534" s="332">
        <v>27250</v>
      </c>
      <c r="B534" s="650">
        <v>2012.7794680512304</v>
      </c>
      <c r="C534" s="650">
        <v>2842.4381456670003</v>
      </c>
      <c r="D534" s="650">
        <v>3268.9321452029217</v>
      </c>
      <c r="E534" s="650">
        <v>3651.3972061916629</v>
      </c>
      <c r="F534" s="650">
        <v>4016.5369268108293</v>
      </c>
      <c r="G534" s="650">
        <v>4365.9756394433716</v>
      </c>
    </row>
    <row r="535" spans="1:7">
      <c r="A535" s="332">
        <v>27300</v>
      </c>
      <c r="B535" s="650">
        <v>2014.8847840504704</v>
      </c>
      <c r="C535" s="650">
        <v>2845.3452254770764</v>
      </c>
      <c r="D535" s="650">
        <v>3272.1996902183055</v>
      </c>
      <c r="E535" s="650">
        <v>3655.0470539738471</v>
      </c>
      <c r="F535" s="650">
        <v>4020.5517593712316</v>
      </c>
      <c r="G535" s="650">
        <v>4370.339762436528</v>
      </c>
    </row>
    <row r="536" spans="1:7">
      <c r="A536" s="332">
        <v>27350</v>
      </c>
      <c r="B536" s="650">
        <v>2016.9901000497107</v>
      </c>
      <c r="C536" s="650">
        <v>2848.2523052871529</v>
      </c>
      <c r="D536" s="650">
        <v>3275.4672352336893</v>
      </c>
      <c r="E536" s="650">
        <v>3658.6969017560305</v>
      </c>
      <c r="F536" s="650">
        <v>4024.5665919316334</v>
      </c>
      <c r="G536" s="650">
        <v>4374.7038854296852</v>
      </c>
    </row>
    <row r="537" spans="1:7">
      <c r="A537" s="332">
        <v>27400</v>
      </c>
      <c r="B537" s="650">
        <v>2019.0954160489507</v>
      </c>
      <c r="C537" s="650">
        <v>2851.159385097229</v>
      </c>
      <c r="D537" s="650">
        <v>3278.7347802490731</v>
      </c>
      <c r="E537" s="650">
        <v>3662.3467495382142</v>
      </c>
      <c r="F537" s="650">
        <v>4028.5814244920357</v>
      </c>
      <c r="G537" s="650">
        <v>4379.0680084228425</v>
      </c>
    </row>
    <row r="538" spans="1:7">
      <c r="A538" s="332">
        <v>27450</v>
      </c>
      <c r="B538" s="650">
        <v>2021.200732048191</v>
      </c>
      <c r="C538" s="650">
        <v>2854.0664649073051</v>
      </c>
      <c r="D538" s="650">
        <v>3282.0023252644569</v>
      </c>
      <c r="E538" s="650">
        <v>3665.996597320398</v>
      </c>
      <c r="F538" s="650">
        <v>4032.596257052438</v>
      </c>
      <c r="G538" s="650">
        <v>4383.4321314159997</v>
      </c>
    </row>
    <row r="539" spans="1:7">
      <c r="A539" s="332">
        <v>27500</v>
      </c>
      <c r="B539" s="650">
        <v>2023.306048047431</v>
      </c>
      <c r="C539" s="650">
        <v>2856.9735447173812</v>
      </c>
      <c r="D539" s="650">
        <v>3285.2698702798407</v>
      </c>
      <c r="E539" s="650">
        <v>3669.6464451025818</v>
      </c>
      <c r="F539" s="650">
        <v>4036.6110896128398</v>
      </c>
      <c r="G539" s="650">
        <v>4387.796254409157</v>
      </c>
    </row>
    <row r="540" spans="1:7">
      <c r="A540" s="332">
        <v>27550</v>
      </c>
      <c r="B540" s="650">
        <v>2025.4113640466712</v>
      </c>
      <c r="C540" s="650">
        <v>2859.8806245274573</v>
      </c>
      <c r="D540" s="650">
        <v>3288.5374152952245</v>
      </c>
      <c r="E540" s="650">
        <v>3673.2962928847655</v>
      </c>
      <c r="F540" s="650">
        <v>4040.6259221732421</v>
      </c>
      <c r="G540" s="650">
        <v>4392.1603774023133</v>
      </c>
    </row>
    <row r="541" spans="1:7">
      <c r="A541" s="332">
        <v>27600</v>
      </c>
      <c r="B541" s="650">
        <v>2027.5166800459112</v>
      </c>
      <c r="C541" s="650">
        <v>2862.7877043375333</v>
      </c>
      <c r="D541" s="650">
        <v>3291.8049603106083</v>
      </c>
      <c r="E541" s="650">
        <v>3676.9461406669493</v>
      </c>
      <c r="F541" s="650">
        <v>4044.6407547336439</v>
      </c>
      <c r="G541" s="650">
        <v>4396.5245003954706</v>
      </c>
    </row>
    <row r="542" spans="1:7">
      <c r="A542" s="332">
        <v>27650</v>
      </c>
      <c r="B542" s="650">
        <v>2029.6219960451515</v>
      </c>
      <c r="C542" s="650">
        <v>2865.6947841476094</v>
      </c>
      <c r="D542" s="650">
        <v>3295.0725053259921</v>
      </c>
      <c r="E542" s="650">
        <v>3680.5959884491331</v>
      </c>
      <c r="F542" s="650">
        <v>4048.6555872940462</v>
      </c>
      <c r="G542" s="650">
        <v>4400.8886233886278</v>
      </c>
    </row>
    <row r="543" spans="1:7">
      <c r="A543" s="332">
        <v>27700</v>
      </c>
      <c r="B543" s="650">
        <v>2031.7273120443917</v>
      </c>
      <c r="C543" s="650">
        <v>2868.601863957686</v>
      </c>
      <c r="D543" s="650">
        <v>3298.3400503413764</v>
      </c>
      <c r="E543" s="650">
        <v>3684.2458362313173</v>
      </c>
      <c r="F543" s="650">
        <v>4052.6704198544485</v>
      </c>
      <c r="G543" s="650">
        <v>4405.252746381786</v>
      </c>
    </row>
    <row r="544" spans="1:7">
      <c r="A544" s="332">
        <v>27750</v>
      </c>
      <c r="B544" s="650">
        <v>2033.832628043632</v>
      </c>
      <c r="C544" s="650">
        <v>2871.508943767762</v>
      </c>
      <c r="D544" s="650">
        <v>3301.6075953567602</v>
      </c>
      <c r="E544" s="650">
        <v>3687.8956840135006</v>
      </c>
      <c r="F544" s="650">
        <v>4056.6852524148508</v>
      </c>
      <c r="G544" s="650">
        <v>4409.6168693749423</v>
      </c>
    </row>
    <row r="545" spans="1:7">
      <c r="A545" s="332">
        <v>27800</v>
      </c>
      <c r="B545" s="650">
        <v>2035.937944042872</v>
      </c>
      <c r="C545" s="650">
        <v>2874.4160235778381</v>
      </c>
      <c r="D545" s="650">
        <v>3304.875140372144</v>
      </c>
      <c r="E545" s="650">
        <v>3691.5455317956848</v>
      </c>
      <c r="F545" s="650">
        <v>4060.700084975253</v>
      </c>
      <c r="G545" s="650">
        <v>4413.9809923680996</v>
      </c>
    </row>
    <row r="546" spans="1:7">
      <c r="A546" s="332">
        <v>27850</v>
      </c>
      <c r="B546" s="650">
        <v>2038.0432600421123</v>
      </c>
      <c r="C546" s="650">
        <v>2877.3231033879142</v>
      </c>
      <c r="D546" s="650">
        <v>3308.1426853875278</v>
      </c>
      <c r="E546" s="650">
        <v>3695.1953795778682</v>
      </c>
      <c r="F546" s="650">
        <v>4064.7149175356549</v>
      </c>
      <c r="G546" s="650">
        <v>4418.3451153612568</v>
      </c>
    </row>
    <row r="547" spans="1:7">
      <c r="A547" s="332">
        <v>27900</v>
      </c>
      <c r="B547" s="650">
        <v>2040.1485760413523</v>
      </c>
      <c r="C547" s="650">
        <v>2880.2301831979903</v>
      </c>
      <c r="D547" s="650">
        <v>3311.4102304029116</v>
      </c>
      <c r="E547" s="650">
        <v>3698.8452273600519</v>
      </c>
      <c r="F547" s="650">
        <v>4068.7297500960572</v>
      </c>
      <c r="G547" s="650">
        <v>4422.7092383544141</v>
      </c>
    </row>
    <row r="548" spans="1:7">
      <c r="A548" s="332">
        <v>27950</v>
      </c>
      <c r="B548" s="650">
        <v>2042.2538920405927</v>
      </c>
      <c r="C548" s="650">
        <v>2883.1372630080668</v>
      </c>
      <c r="D548" s="650">
        <v>3314.6777754182958</v>
      </c>
      <c r="E548" s="650">
        <v>3702.4950751422361</v>
      </c>
      <c r="F548" s="650">
        <v>4072.7445826564599</v>
      </c>
      <c r="G548" s="650">
        <v>4427.0733613475713</v>
      </c>
    </row>
    <row r="549" spans="1:7">
      <c r="A549" s="332">
        <v>28000</v>
      </c>
      <c r="B549" s="650">
        <v>2044.3592080398328</v>
      </c>
      <c r="C549" s="650">
        <v>2886.0443428181434</v>
      </c>
      <c r="D549" s="650">
        <v>3317.9453204336796</v>
      </c>
      <c r="E549" s="650">
        <v>3706.1449229244199</v>
      </c>
      <c r="F549" s="650">
        <v>4076.7594152168617</v>
      </c>
      <c r="G549" s="650">
        <v>4431.4374843407286</v>
      </c>
    </row>
    <row r="550" spans="1:7">
      <c r="A550" s="332">
        <v>28050</v>
      </c>
      <c r="B550" s="650">
        <v>2046.464524039073</v>
      </c>
      <c r="C550" s="650">
        <v>2888.951422628219</v>
      </c>
      <c r="D550" s="650">
        <v>3321.2128654490634</v>
      </c>
      <c r="E550" s="650">
        <v>3709.7947707066037</v>
      </c>
      <c r="F550" s="650">
        <v>4080.774247777264</v>
      </c>
      <c r="G550" s="650">
        <v>4435.8016073338858</v>
      </c>
    </row>
    <row r="551" spans="1:7">
      <c r="A551" s="332">
        <v>28100</v>
      </c>
      <c r="B551" s="650">
        <v>2048.569840038313</v>
      </c>
      <c r="C551" s="650">
        <v>2891.8585024382955</v>
      </c>
      <c r="D551" s="650">
        <v>3324.4804104644472</v>
      </c>
      <c r="E551" s="650">
        <v>3713.4446184887875</v>
      </c>
      <c r="F551" s="650">
        <v>4084.7890803376658</v>
      </c>
      <c r="G551" s="650">
        <v>4440.1657303270422</v>
      </c>
    </row>
    <row r="552" spans="1:7">
      <c r="A552" s="332">
        <v>28150</v>
      </c>
      <c r="B552" s="650">
        <v>2050.6751560375533</v>
      </c>
      <c r="C552" s="650">
        <v>2894.7655822483716</v>
      </c>
      <c r="D552" s="650">
        <v>3327.747955479831</v>
      </c>
      <c r="E552" s="650">
        <v>3717.0944662709712</v>
      </c>
      <c r="F552" s="650">
        <v>4088.8039128980681</v>
      </c>
      <c r="G552" s="650">
        <v>4444.5298533201994</v>
      </c>
    </row>
    <row r="553" spans="1:7">
      <c r="A553" s="332">
        <v>28200</v>
      </c>
      <c r="B553" s="650">
        <v>2052.7804720367931</v>
      </c>
      <c r="C553" s="650">
        <v>2897.6726620584477</v>
      </c>
      <c r="D553" s="650">
        <v>3331.0155004952148</v>
      </c>
      <c r="E553" s="650">
        <v>3720.744314053155</v>
      </c>
      <c r="F553" s="650">
        <v>4092.8187454584704</v>
      </c>
      <c r="G553" s="650">
        <v>4448.8939763133567</v>
      </c>
    </row>
    <row r="554" spans="1:7">
      <c r="A554" s="332">
        <v>28250</v>
      </c>
      <c r="B554" s="650">
        <v>2054.8857880360333</v>
      </c>
      <c r="C554" s="650">
        <v>2900.5797418685238</v>
      </c>
      <c r="D554" s="650">
        <v>3334.2830455105986</v>
      </c>
      <c r="E554" s="650">
        <v>3724.3941618353383</v>
      </c>
      <c r="F554" s="650">
        <v>4096.8335780188718</v>
      </c>
      <c r="G554" s="650">
        <v>4453.2580993065139</v>
      </c>
    </row>
    <row r="555" spans="1:7">
      <c r="A555" s="332">
        <v>28300</v>
      </c>
      <c r="B555" s="650">
        <v>2056.9911040352736</v>
      </c>
      <c r="C555" s="650">
        <v>2903.4868216785999</v>
      </c>
      <c r="D555" s="650">
        <v>3337.5505905259824</v>
      </c>
      <c r="E555" s="650">
        <v>3728.0440096175221</v>
      </c>
      <c r="F555" s="650">
        <v>4100.8484105792741</v>
      </c>
      <c r="G555" s="650">
        <v>4457.6222222996712</v>
      </c>
    </row>
    <row r="556" spans="1:7">
      <c r="A556" s="332">
        <v>28350</v>
      </c>
      <c r="B556" s="650">
        <v>2059.0964200345138</v>
      </c>
      <c r="C556" s="650">
        <v>2906.393901488676</v>
      </c>
      <c r="D556" s="650">
        <v>3340.8181355413662</v>
      </c>
      <c r="E556" s="650">
        <v>3731.6938573997058</v>
      </c>
      <c r="F556" s="650">
        <v>4104.8632431396763</v>
      </c>
      <c r="G556" s="650">
        <v>4461.9863452928275</v>
      </c>
    </row>
    <row r="557" spans="1:7">
      <c r="A557" s="332">
        <v>28400</v>
      </c>
      <c r="B557" s="650">
        <v>2061.2017360337536</v>
      </c>
      <c r="C557" s="650">
        <v>2909.300981298752</v>
      </c>
      <c r="D557" s="650">
        <v>3344.08568055675</v>
      </c>
      <c r="E557" s="650">
        <v>3735.3437051818896</v>
      </c>
      <c r="F557" s="650">
        <v>4108.8780757000786</v>
      </c>
      <c r="G557" s="650">
        <v>4466.3504682859848</v>
      </c>
    </row>
    <row r="558" spans="1:7">
      <c r="A558" s="332">
        <v>28450</v>
      </c>
      <c r="B558" s="650">
        <v>2063.3070520329943</v>
      </c>
      <c r="C558" s="650">
        <v>2912.2080611088286</v>
      </c>
      <c r="D558" s="650">
        <v>3347.3532255721343</v>
      </c>
      <c r="E558" s="650">
        <v>3738.9935529640738</v>
      </c>
      <c r="F558" s="650">
        <v>4112.8929082604809</v>
      </c>
      <c r="G558" s="650">
        <v>4470.714591279143</v>
      </c>
    </row>
    <row r="559" spans="1:7">
      <c r="A559" s="332">
        <v>28500</v>
      </c>
      <c r="B559" s="650">
        <v>2065.4123680322346</v>
      </c>
      <c r="C559" s="650">
        <v>2915.1151409189051</v>
      </c>
      <c r="D559" s="650">
        <v>3350.6207705875186</v>
      </c>
      <c r="E559" s="650">
        <v>3742.6434007462581</v>
      </c>
      <c r="F559" s="650">
        <v>4116.9077408208832</v>
      </c>
      <c r="G559" s="650">
        <v>4475.0787142723002</v>
      </c>
    </row>
    <row r="560" spans="1:7">
      <c r="A560" s="332">
        <v>28550</v>
      </c>
      <c r="B560" s="650">
        <v>2067.5176840314748</v>
      </c>
      <c r="C560" s="650">
        <v>2918.0222207289812</v>
      </c>
      <c r="D560" s="650">
        <v>3353.8883156029024</v>
      </c>
      <c r="E560" s="650">
        <v>3746.2932485284418</v>
      </c>
      <c r="F560" s="650">
        <v>4120.9225733812855</v>
      </c>
      <c r="G560" s="650">
        <v>4479.4428372654575</v>
      </c>
    </row>
    <row r="561" spans="1:7">
      <c r="A561" s="332">
        <v>28600</v>
      </c>
      <c r="B561" s="650">
        <v>2069.623000030715</v>
      </c>
      <c r="C561" s="650">
        <v>2920.9293005390573</v>
      </c>
      <c r="D561" s="650">
        <v>3357.1558606182862</v>
      </c>
      <c r="E561" s="650">
        <v>3749.9430963106256</v>
      </c>
      <c r="F561" s="650">
        <v>4124.9374059416878</v>
      </c>
      <c r="G561" s="650">
        <v>4483.8069602586147</v>
      </c>
    </row>
    <row r="562" spans="1:7">
      <c r="A562" s="332">
        <v>28650</v>
      </c>
      <c r="B562" s="650">
        <v>2071.7283160299548</v>
      </c>
      <c r="C562" s="650">
        <v>2923.8363803491334</v>
      </c>
      <c r="D562" s="650">
        <v>3360.42340563367</v>
      </c>
      <c r="E562" s="650">
        <v>3753.5929440928094</v>
      </c>
      <c r="F562" s="650">
        <v>4128.95223850209</v>
      </c>
      <c r="G562" s="650">
        <v>4488.171083251772</v>
      </c>
    </row>
    <row r="563" spans="1:7">
      <c r="A563" s="332">
        <v>28700</v>
      </c>
      <c r="B563" s="650">
        <v>2073.8336320291951</v>
      </c>
      <c r="C563" s="650">
        <v>2926.7434601592095</v>
      </c>
      <c r="D563" s="650">
        <v>3363.6909506490538</v>
      </c>
      <c r="E563" s="650">
        <v>3757.2427918749927</v>
      </c>
      <c r="F563" s="650">
        <v>4132.9670710624923</v>
      </c>
      <c r="G563" s="650">
        <v>4492.5352062449283</v>
      </c>
    </row>
    <row r="564" spans="1:7">
      <c r="A564" s="332">
        <v>28750</v>
      </c>
      <c r="B564" s="650">
        <v>2075.9389480284353</v>
      </c>
      <c r="C564" s="650">
        <v>2929.650539969286</v>
      </c>
      <c r="D564" s="650">
        <v>3366.9584956644376</v>
      </c>
      <c r="E564" s="650">
        <v>3760.8926396571765</v>
      </c>
      <c r="F564" s="650">
        <v>4136.9819036228946</v>
      </c>
      <c r="G564" s="650">
        <v>4496.8993292380856</v>
      </c>
    </row>
    <row r="565" spans="1:7">
      <c r="A565" s="332">
        <v>28800</v>
      </c>
      <c r="B565" s="650">
        <v>2078.0442640276751</v>
      </c>
      <c r="C565" s="650">
        <v>2932.5576197793616</v>
      </c>
      <c r="D565" s="650">
        <v>3370.2260406798214</v>
      </c>
      <c r="E565" s="650">
        <v>3764.5424874393602</v>
      </c>
      <c r="F565" s="650">
        <v>4140.996736183296</v>
      </c>
      <c r="G565" s="650">
        <v>4501.2634522312428</v>
      </c>
    </row>
    <row r="566" spans="1:7">
      <c r="A566" s="332">
        <v>28850</v>
      </c>
      <c r="B566" s="650">
        <v>2080.1495800269154</v>
      </c>
      <c r="C566" s="650">
        <v>2935.4646995894382</v>
      </c>
      <c r="D566" s="650">
        <v>3373.4935856952052</v>
      </c>
      <c r="E566" s="650">
        <v>3768.192335221544</v>
      </c>
      <c r="F566" s="650">
        <v>4145.0115687436983</v>
      </c>
      <c r="G566" s="650">
        <v>4505.6275752244001</v>
      </c>
    </row>
    <row r="567" spans="1:7">
      <c r="A567" s="332">
        <v>28900</v>
      </c>
      <c r="B567" s="650">
        <v>2082.2548960261556</v>
      </c>
      <c r="C567" s="650">
        <v>2938.3717793995143</v>
      </c>
      <c r="D567" s="650">
        <v>3376.761130710589</v>
      </c>
      <c r="E567" s="650">
        <v>3771.8421830037278</v>
      </c>
      <c r="F567" s="650">
        <v>4149.0264013041005</v>
      </c>
      <c r="G567" s="650">
        <v>4509.9916982175573</v>
      </c>
    </row>
    <row r="568" spans="1:7">
      <c r="A568" s="332">
        <v>28950</v>
      </c>
      <c r="B568" s="650">
        <v>2084.3602120253959</v>
      </c>
      <c r="C568" s="650">
        <v>2941.2788592095908</v>
      </c>
      <c r="D568" s="650">
        <v>3380.0286757259732</v>
      </c>
      <c r="E568" s="650">
        <v>3775.492030785912</v>
      </c>
      <c r="F568" s="650">
        <v>4153.0412338645028</v>
      </c>
      <c r="G568" s="650">
        <v>4514.3558212107146</v>
      </c>
    </row>
    <row r="569" spans="1:7">
      <c r="A569" s="332">
        <v>29000</v>
      </c>
      <c r="B569" s="650">
        <v>2086.4655280246361</v>
      </c>
      <c r="C569" s="650">
        <v>2944.1859390196669</v>
      </c>
      <c r="D569" s="650">
        <v>3383.296220741357</v>
      </c>
      <c r="E569" s="650">
        <v>3779.1418785680958</v>
      </c>
      <c r="F569" s="650">
        <v>4157.0560664249051</v>
      </c>
      <c r="G569" s="650">
        <v>4518.7199442038718</v>
      </c>
    </row>
    <row r="570" spans="1:7">
      <c r="A570" s="332">
        <v>29050</v>
      </c>
      <c r="B570" s="650">
        <v>2088.5708440238764</v>
      </c>
      <c r="C570" s="650">
        <v>2947.093018829743</v>
      </c>
      <c r="D570" s="650">
        <v>3386.5637657567408</v>
      </c>
      <c r="E570" s="650">
        <v>3782.7917263502795</v>
      </c>
      <c r="F570" s="650">
        <v>4161.0708989853074</v>
      </c>
      <c r="G570" s="650">
        <v>4523.0840671970291</v>
      </c>
    </row>
    <row r="571" spans="1:7">
      <c r="A571" s="332">
        <v>29100</v>
      </c>
      <c r="B571" s="650">
        <v>2090.6761600231162</v>
      </c>
      <c r="C571" s="650">
        <v>2950.000098639819</v>
      </c>
      <c r="D571" s="650">
        <v>3389.8313107721247</v>
      </c>
      <c r="E571" s="650">
        <v>3786.4415741324628</v>
      </c>
      <c r="F571" s="650">
        <v>4165.0857315457097</v>
      </c>
      <c r="G571" s="650">
        <v>4527.4481901901854</v>
      </c>
    </row>
    <row r="572" spans="1:7">
      <c r="A572" s="332">
        <v>29150</v>
      </c>
      <c r="B572" s="650">
        <v>2092.7814760223564</v>
      </c>
      <c r="C572" s="650">
        <v>2952.9071784498951</v>
      </c>
      <c r="D572" s="650">
        <v>3393.0988557875085</v>
      </c>
      <c r="E572" s="650">
        <v>3790.0914219146471</v>
      </c>
      <c r="F572" s="650">
        <v>4169.1005641061111</v>
      </c>
      <c r="G572" s="650">
        <v>4531.8123131833427</v>
      </c>
    </row>
    <row r="573" spans="1:7">
      <c r="A573" s="332">
        <v>29200</v>
      </c>
      <c r="B573" s="650">
        <v>2094.8867920215966</v>
      </c>
      <c r="C573" s="650">
        <v>2955.8142582599717</v>
      </c>
      <c r="D573" s="650">
        <v>3396.3664008028927</v>
      </c>
      <c r="E573" s="650">
        <v>3793.7412696968308</v>
      </c>
      <c r="F573" s="650">
        <v>4173.1153966665142</v>
      </c>
      <c r="G573" s="650">
        <v>4536.1764361765008</v>
      </c>
    </row>
    <row r="574" spans="1:7">
      <c r="A574" s="332">
        <v>29250</v>
      </c>
      <c r="B574" s="650">
        <v>2096.9921080208369</v>
      </c>
      <c r="C574" s="650">
        <v>2958.7213380700478</v>
      </c>
      <c r="D574" s="650">
        <v>3399.6339458182765</v>
      </c>
      <c r="E574" s="650">
        <v>3797.3911174790146</v>
      </c>
      <c r="F574" s="650">
        <v>4177.1302292269156</v>
      </c>
      <c r="G574" s="650">
        <v>4540.5405591696572</v>
      </c>
    </row>
    <row r="575" spans="1:7">
      <c r="A575" s="332">
        <v>29300</v>
      </c>
      <c r="B575" s="650">
        <v>2099.0974240200771</v>
      </c>
      <c r="C575" s="650">
        <v>2961.6284178801238</v>
      </c>
      <c r="D575" s="650">
        <v>3402.9014908336603</v>
      </c>
      <c r="E575" s="650">
        <v>3801.0409652611984</v>
      </c>
      <c r="F575" s="650">
        <v>4181.1450617873179</v>
      </c>
      <c r="G575" s="650">
        <v>4544.9046821628144</v>
      </c>
    </row>
    <row r="576" spans="1:7">
      <c r="A576" s="332">
        <v>29350</v>
      </c>
      <c r="B576" s="650">
        <v>2101.2027400193174</v>
      </c>
      <c r="C576" s="650">
        <v>2964.5354976901999</v>
      </c>
      <c r="D576" s="650">
        <v>3406.1690358490441</v>
      </c>
      <c r="E576" s="650">
        <v>3804.6908130433821</v>
      </c>
      <c r="F576" s="650">
        <v>4185.1598943477202</v>
      </c>
      <c r="G576" s="650">
        <v>4549.2688051559717</v>
      </c>
    </row>
    <row r="577" spans="1:7">
      <c r="A577" s="332">
        <v>29400</v>
      </c>
      <c r="B577" s="650">
        <v>2103.3080560185572</v>
      </c>
      <c r="C577" s="650">
        <v>2967.442577500276</v>
      </c>
      <c r="D577" s="650">
        <v>3409.4365808644279</v>
      </c>
      <c r="E577" s="650">
        <v>3808.3406608255659</v>
      </c>
      <c r="F577" s="650">
        <v>4189.1747269081225</v>
      </c>
      <c r="G577" s="650">
        <v>4553.6329281491289</v>
      </c>
    </row>
    <row r="578" spans="1:7">
      <c r="A578" s="332">
        <v>29450</v>
      </c>
      <c r="B578" s="650">
        <v>2105.4133720177974</v>
      </c>
      <c r="C578" s="650">
        <v>2970.3496573103521</v>
      </c>
      <c r="D578" s="650">
        <v>3412.7041258798117</v>
      </c>
      <c r="E578" s="650">
        <v>3811.9905086077497</v>
      </c>
      <c r="F578" s="650">
        <v>4193.1895594685247</v>
      </c>
      <c r="G578" s="650">
        <v>4557.9970511422862</v>
      </c>
    </row>
    <row r="579" spans="1:7">
      <c r="A579" s="332">
        <v>29500</v>
      </c>
      <c r="B579" s="650">
        <v>2107.5186880170377</v>
      </c>
      <c r="C579" s="650">
        <v>2973.2567371204286</v>
      </c>
      <c r="D579" s="650">
        <v>3415.9716708951955</v>
      </c>
      <c r="E579" s="650">
        <v>3815.6403563899335</v>
      </c>
      <c r="F579" s="650">
        <v>4197.204392028927</v>
      </c>
      <c r="G579" s="650">
        <v>4562.3611741354434</v>
      </c>
    </row>
    <row r="580" spans="1:7">
      <c r="A580" s="332">
        <v>29550</v>
      </c>
      <c r="B580" s="650">
        <v>2109.6240040162775</v>
      </c>
      <c r="C580" s="650">
        <v>2976.1638169305043</v>
      </c>
      <c r="D580" s="650">
        <v>3419.2392159105793</v>
      </c>
      <c r="E580" s="650">
        <v>3819.2902041721172</v>
      </c>
      <c r="F580" s="650">
        <v>4201.2192245893284</v>
      </c>
      <c r="G580" s="650">
        <v>4566.7252971285998</v>
      </c>
    </row>
    <row r="581" spans="1:7">
      <c r="A581" s="332">
        <v>29600</v>
      </c>
      <c r="B581" s="650">
        <v>2111.7293200155177</v>
      </c>
      <c r="C581" s="650">
        <v>2979.0708967405808</v>
      </c>
      <c r="D581" s="650">
        <v>3422.5067609259631</v>
      </c>
      <c r="E581" s="650">
        <v>3822.9400519543005</v>
      </c>
      <c r="F581" s="650">
        <v>4205.2340571497307</v>
      </c>
      <c r="G581" s="650">
        <v>4571.089420121757</v>
      </c>
    </row>
    <row r="582" spans="1:7">
      <c r="A582" s="332">
        <v>29650</v>
      </c>
      <c r="B582" s="650">
        <v>2113.834636014758</v>
      </c>
      <c r="C582" s="650">
        <v>2981.9779765506569</v>
      </c>
      <c r="D582" s="650">
        <v>3425.7743059413469</v>
      </c>
      <c r="E582" s="650">
        <v>3826.5898997364848</v>
      </c>
      <c r="F582" s="650">
        <v>4209.248889710133</v>
      </c>
      <c r="G582" s="650">
        <v>4575.4535431149143</v>
      </c>
    </row>
    <row r="583" spans="1:7">
      <c r="A583" s="332">
        <v>29700</v>
      </c>
      <c r="B583" s="650">
        <v>2115.9399520139982</v>
      </c>
      <c r="C583" s="650">
        <v>2984.8850563607334</v>
      </c>
      <c r="D583" s="650">
        <v>3429.0418509567312</v>
      </c>
      <c r="E583" s="650">
        <v>3830.2397475186685</v>
      </c>
      <c r="F583" s="650">
        <v>4213.2637222705353</v>
      </c>
      <c r="G583" s="650">
        <v>4579.8176661080715</v>
      </c>
    </row>
    <row r="584" spans="1:7">
      <c r="A584" s="332">
        <v>29750</v>
      </c>
      <c r="B584" s="650">
        <v>2118.0452680132389</v>
      </c>
      <c r="C584" s="650">
        <v>2987.7921361708095</v>
      </c>
      <c r="D584" s="650">
        <v>3432.3093959721155</v>
      </c>
      <c r="E584" s="650">
        <v>3833.8895953008528</v>
      </c>
      <c r="F584" s="650">
        <v>4217.2785548309384</v>
      </c>
      <c r="G584" s="650">
        <v>4584.1817891012297</v>
      </c>
    </row>
    <row r="585" spans="1:7">
      <c r="A585" s="332">
        <v>29800</v>
      </c>
      <c r="B585" s="650">
        <v>2120.1505840124787</v>
      </c>
      <c r="C585" s="650">
        <v>2990.699215980886</v>
      </c>
      <c r="D585" s="650">
        <v>3435.5769409874993</v>
      </c>
      <c r="E585" s="650">
        <v>3837.5394430830365</v>
      </c>
      <c r="F585" s="650">
        <v>4221.2933873913398</v>
      </c>
      <c r="G585" s="650">
        <v>4588.5459120943869</v>
      </c>
    </row>
    <row r="586" spans="1:7">
      <c r="A586" s="332">
        <v>29850</v>
      </c>
      <c r="B586" s="650">
        <v>2122.2559000117189</v>
      </c>
      <c r="C586" s="650">
        <v>2993.6062957909621</v>
      </c>
      <c r="D586" s="650">
        <v>3438.8444860028831</v>
      </c>
      <c r="E586" s="650">
        <v>3841.1892908652203</v>
      </c>
      <c r="F586" s="650">
        <v>4225.3082199517421</v>
      </c>
      <c r="G586" s="650">
        <v>4592.9100350875433</v>
      </c>
    </row>
    <row r="587" spans="1:7">
      <c r="A587" s="332">
        <v>29900</v>
      </c>
      <c r="B587" s="650">
        <v>2124.3612160109592</v>
      </c>
      <c r="C587" s="650">
        <v>2996.5133756010382</v>
      </c>
      <c r="D587" s="650">
        <v>3442.1120310182669</v>
      </c>
      <c r="E587" s="650">
        <v>3844.8391386474041</v>
      </c>
      <c r="F587" s="650">
        <v>4229.3230525121444</v>
      </c>
      <c r="G587" s="650">
        <v>4597.2741580807005</v>
      </c>
    </row>
    <row r="588" spans="1:7">
      <c r="A588" s="332">
        <v>29950</v>
      </c>
      <c r="B588" s="650">
        <v>2126.4665320101994</v>
      </c>
      <c r="C588" s="650">
        <v>2999.4204554111143</v>
      </c>
      <c r="D588" s="650">
        <v>3445.3795760336507</v>
      </c>
      <c r="E588" s="650">
        <v>3848.4889864295878</v>
      </c>
      <c r="F588" s="650">
        <v>4233.3378850725467</v>
      </c>
      <c r="G588" s="650">
        <v>4601.6382810738578</v>
      </c>
    </row>
    <row r="589" spans="1:7" ht="13.5" thickBot="1">
      <c r="A589" s="334">
        <v>30000</v>
      </c>
      <c r="B589" s="650">
        <v>2128.5718480094392</v>
      </c>
      <c r="C589" s="650">
        <v>3002.3275352211904</v>
      </c>
      <c r="D589" s="650">
        <v>3448.6471210490345</v>
      </c>
      <c r="E589" s="650">
        <v>3852.1388342117716</v>
      </c>
      <c r="F589" s="650">
        <v>4237.352717632948</v>
      </c>
      <c r="G589" s="650">
        <v>4606.002404067015</v>
      </c>
    </row>
    <row r="590" spans="1:7">
      <c r="A590" s="335"/>
      <c r="B590" s="335"/>
      <c r="C590" s="335"/>
      <c r="D590" s="335"/>
      <c r="E590" s="335"/>
      <c r="F590" s="335"/>
      <c r="G590" s="335"/>
    </row>
  </sheetData>
  <sheetProtection password="CA2C" sheet="1" objects="1" scenarios="1"/>
  <mergeCells count="2">
    <mergeCell ref="A1:G1"/>
    <mergeCell ref="A2:G2"/>
  </mergeCells>
  <phoneticPr fontId="0" type="noConversion"/>
  <pageMargins left="0.75" right="0.7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Worksheet</vt:lpstr>
      <vt:lpstr>ChildSupportOrder</vt:lpstr>
      <vt:lpstr>Paternity Judgment &amp; Order</vt:lpstr>
      <vt:lpstr>IWO</vt:lpstr>
      <vt:lpstr>Order of Assignment</vt:lpstr>
      <vt:lpstr>Tax</vt:lpstr>
      <vt:lpstr>Paragraphs</vt:lpstr>
      <vt:lpstr>PTD</vt:lpstr>
      <vt:lpstr>2011 Schedule</vt:lpstr>
      <vt:lpstr>2015 Schedule</vt:lpstr>
      <vt:lpstr>Parenting Time</vt:lpstr>
      <vt:lpstr>County</vt:lpstr>
      <vt:lpstr>ChildSupportOrder!Print_Area</vt:lpstr>
      <vt:lpstr>'Order of Assignment'!Print_Area</vt:lpstr>
      <vt:lpstr>'Paternity Judgment &amp; Order'!Print_Area</vt:lpstr>
      <vt:lpstr>PTD!Print_Area</vt:lpstr>
      <vt:lpstr>Worksheet!Print_Area</vt:lpstr>
      <vt:lpstr>'2011 Schedule'!Print_Titles</vt:lpstr>
    </vt:vector>
  </TitlesOfParts>
  <Company>Maricopa County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Superior Court</dc:creator>
  <cp:lastModifiedBy>jenholm</cp:lastModifiedBy>
  <cp:lastPrinted>2015-06-05T21:27:17Z</cp:lastPrinted>
  <dcterms:created xsi:type="dcterms:W3CDTF">2002-02-04T22:48:48Z</dcterms:created>
  <dcterms:modified xsi:type="dcterms:W3CDTF">2015-07-02T16:31:15Z</dcterms:modified>
</cp:coreProperties>
</file>